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lucian/ANCPI/"/>
    </mc:Choice>
  </mc:AlternateContent>
  <xr:revisionPtr revIDLastSave="0" documentId="13_ncr:1_{8778DD92-6FA3-0844-9DFB-0F37FE99840D}" xr6:coauthVersionLast="45" xr6:coauthVersionMax="45" xr10:uidLastSave="{00000000-0000-0000-0000-000000000000}"/>
  <bookViews>
    <workbookView xWindow="0" yWindow="460" windowWidth="30300" windowHeight="19720" xr2:uid="{00000000-000D-0000-FFFF-FFFF00000000}"/>
  </bookViews>
  <sheets>
    <sheet name="Buget consolidat" sheetId="2" r:id="rId1"/>
    <sheet name="Program Inv. Publice" sheetId="3" r:id="rId2"/>
    <sheet name="Sinteza cheltuieli" sheetId="6" r:id="rId3"/>
  </sheets>
  <externalReferences>
    <externalReference r:id="rId4"/>
  </externalReferences>
  <definedNames>
    <definedName name="_12PROCENT_1" localSheetId="1">#REF!</definedName>
    <definedName name="_12PROCENT_2" localSheetId="1">#REF!</definedName>
    <definedName name="_16PROCENT_2" localSheetId="1">#REF!</definedName>
    <definedName name="_3PR_1" localSheetId="1">'[1]Satu Mare'!#REF!</definedName>
    <definedName name="_4PR_1" localSheetId="1">'[1]Satu Mare'!#REF!</definedName>
    <definedName name="_6PR_2" localSheetId="1">'[1]Satu Mare'!#REF!</definedName>
    <definedName name="_8PR_2" localSheetId="1">'[1]Satu Mare'!#REF!</definedName>
    <definedName name="_9PROCENT_1" localSheetId="1">#REF!</definedName>
    <definedName name="as" localSheetId="1">'[1]Satu Mare'!#REF!</definedName>
    <definedName name="asasa" localSheetId="1">#REF!</definedName>
    <definedName name="b" localSheetId="1">#REF!</definedName>
    <definedName name="buget_campanie_de_informare_constentizare" localSheetId="1">#REF!</definedName>
    <definedName name="PR" localSheetId="1">'[1]Satu Mare'!#REF!</definedName>
    <definedName name="_xlnm.Print_Area" localSheetId="0">'Buget consolidat'!$A$239:$AC$439</definedName>
    <definedName name="_xlnm.Print_Area" localSheetId="1">'Program Inv. Publice'!$A$1:$J$662</definedName>
    <definedName name="_xlnm.Print_Area" localSheetId="2">'Sinteza cheltuieli'!$A$1:$G$97</definedName>
    <definedName name="_xlnm.Print_Titles" localSheetId="0">'Buget consolidat'!$242:$243</definedName>
    <definedName name="_xlnm.Print_Titles" localSheetId="1">'Program Inv. Publice'!$15:$19</definedName>
    <definedName name="_xlnm.Print_Titles" localSheetId="2">'Sinteza cheltuieli'!$4:$5</definedName>
    <definedName name="PROCENT" localSheetId="1">#REF!</definedName>
    <definedName name="x" localSheetId="1">#REF!</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0" i="3" l="1"/>
  <c r="F164" i="3" l="1"/>
  <c r="D69" i="6" l="1"/>
  <c r="D68" i="6" s="1"/>
  <c r="E94" i="6"/>
  <c r="E93" i="6"/>
  <c r="E92" i="6"/>
  <c r="E91" i="6"/>
  <c r="E90" i="6"/>
  <c r="E84" i="6"/>
  <c r="E83" i="6"/>
  <c r="E71" i="6"/>
  <c r="C71" i="6" s="1"/>
  <c r="E70" i="6"/>
  <c r="E67" i="6"/>
  <c r="E63" i="6"/>
  <c r="E62" i="6"/>
  <c r="E61" i="6"/>
  <c r="E60" i="6"/>
  <c r="E59" i="6"/>
  <c r="E57" i="6"/>
  <c r="E56" i="6"/>
  <c r="E55" i="6"/>
  <c r="E54" i="6"/>
  <c r="E53" i="6"/>
  <c r="E52" i="6"/>
  <c r="E51" i="6"/>
  <c r="E49" i="6"/>
  <c r="E48" i="6" s="1"/>
  <c r="E47" i="6"/>
  <c r="E46" i="6"/>
  <c r="E45" i="6"/>
  <c r="E44" i="6"/>
  <c r="E43" i="6"/>
  <c r="E42" i="6"/>
  <c r="E41" i="6"/>
  <c r="E40" i="6"/>
  <c r="E39" i="6"/>
  <c r="E38" i="6"/>
  <c r="E37" i="6"/>
  <c r="E34" i="6"/>
  <c r="E33" i="6"/>
  <c r="E32" i="6"/>
  <c r="E31" i="6"/>
  <c r="E30" i="6"/>
  <c r="E29" i="6"/>
  <c r="E27" i="6"/>
  <c r="E26" i="6"/>
  <c r="E24" i="6"/>
  <c r="E21" i="6"/>
  <c r="E20" i="6"/>
  <c r="E19" i="6"/>
  <c r="E18" i="6"/>
  <c r="E13" i="6"/>
  <c r="E12" i="6"/>
  <c r="E11" i="6"/>
  <c r="F89" i="6"/>
  <c r="F88" i="6" s="1"/>
  <c r="F87" i="6" s="1"/>
  <c r="F69" i="6"/>
  <c r="F68" i="6" s="1"/>
  <c r="F64" i="6"/>
  <c r="F50" i="6"/>
  <c r="F36" i="6"/>
  <c r="F28" i="6"/>
  <c r="F10" i="6"/>
  <c r="F82" i="6"/>
  <c r="F58" i="6"/>
  <c r="F48" i="6"/>
  <c r="F25" i="6"/>
  <c r="G36" i="6"/>
  <c r="G69" i="6"/>
  <c r="G68" i="6" s="1"/>
  <c r="G89" i="6"/>
  <c r="G88" i="6" s="1"/>
  <c r="G87" i="6" s="1"/>
  <c r="G82" i="6"/>
  <c r="G64" i="6"/>
  <c r="G58" i="6"/>
  <c r="G50" i="6"/>
  <c r="G48" i="6"/>
  <c r="G28" i="6"/>
  <c r="G25" i="6"/>
  <c r="D86" i="6"/>
  <c r="D85" i="6"/>
  <c r="D79" i="6"/>
  <c r="D78" i="6"/>
  <c r="D73" i="6"/>
  <c r="D72" i="6"/>
  <c r="D66" i="6"/>
  <c r="D65" i="6"/>
  <c r="E82" i="6" l="1"/>
  <c r="C46" i="6"/>
  <c r="C40" i="6"/>
  <c r="C37" i="6"/>
  <c r="C61" i="6"/>
  <c r="C59" i="6"/>
  <c r="C57" i="6"/>
  <c r="C55" i="6"/>
  <c r="C53" i="6"/>
  <c r="C38" i="6"/>
  <c r="C60" i="6"/>
  <c r="C47" i="6"/>
  <c r="C39" i="6"/>
  <c r="C27" i="6"/>
  <c r="C13" i="6"/>
  <c r="C34" i="6"/>
  <c r="C32" i="6"/>
  <c r="C30" i="6"/>
  <c r="C43" i="6"/>
  <c r="C41" i="6"/>
  <c r="C19" i="6"/>
  <c r="C90" i="6"/>
  <c r="C24" i="6"/>
  <c r="C21" i="6"/>
  <c r="D64" i="6"/>
  <c r="C45" i="6"/>
  <c r="C12" i="6"/>
  <c r="C52" i="6"/>
  <c r="C18" i="6"/>
  <c r="D48" i="6"/>
  <c r="C94" i="6"/>
  <c r="C56" i="6"/>
  <c r="C42" i="6"/>
  <c r="C20" i="6"/>
  <c r="C33" i="6"/>
  <c r="D82" i="6"/>
  <c r="C92" i="6"/>
  <c r="C44" i="6"/>
  <c r="C83" i="6"/>
  <c r="C31" i="6"/>
  <c r="C54" i="6"/>
  <c r="C91" i="6"/>
  <c r="C11" i="6"/>
  <c r="C26" i="6"/>
  <c r="C93" i="6"/>
  <c r="C63" i="6"/>
  <c r="E25" i="6"/>
  <c r="E69" i="6"/>
  <c r="E68" i="6" s="1"/>
  <c r="E28" i="6"/>
  <c r="E58" i="6"/>
  <c r="C70" i="6"/>
  <c r="C69" i="6" s="1"/>
  <c r="C68" i="6" s="1"/>
  <c r="G35" i="6"/>
  <c r="C62" i="6"/>
  <c r="C29" i="6"/>
  <c r="E89" i="6"/>
  <c r="E88" i="6" s="1"/>
  <c r="E87" i="6" s="1"/>
  <c r="E64" i="6"/>
  <c r="E50" i="6"/>
  <c r="E36" i="6"/>
  <c r="E10" i="6"/>
  <c r="F9" i="6"/>
  <c r="F35" i="6"/>
  <c r="G10" i="6"/>
  <c r="G9" i="6" s="1"/>
  <c r="E81" i="6"/>
  <c r="E73" i="6"/>
  <c r="E80" i="6"/>
  <c r="E72" i="6"/>
  <c r="E78" i="6"/>
  <c r="E76" i="6"/>
  <c r="G86" i="6"/>
  <c r="E65" i="6"/>
  <c r="E66" i="6"/>
  <c r="E74" i="6"/>
  <c r="E77" i="6"/>
  <c r="G85" i="6"/>
  <c r="G66" i="6"/>
  <c r="F66" i="6"/>
  <c r="F79" i="6"/>
  <c r="G65" i="6"/>
  <c r="D75" i="6"/>
  <c r="F72" i="6"/>
  <c r="F78" i="6"/>
  <c r="G76" i="6"/>
  <c r="F80" i="6"/>
  <c r="F86" i="6"/>
  <c r="G79" i="6"/>
  <c r="F85" i="6"/>
  <c r="G78" i="6"/>
  <c r="F65" i="6"/>
  <c r="G80" i="6"/>
  <c r="G72" i="6"/>
  <c r="F73" i="6"/>
  <c r="F76" i="6"/>
  <c r="D74" i="6"/>
  <c r="F77" i="6"/>
  <c r="G73" i="6"/>
  <c r="G77" i="6"/>
  <c r="G81" i="6"/>
  <c r="F81" i="6"/>
  <c r="D28" i="6" l="1"/>
  <c r="G8" i="6"/>
  <c r="G7" i="6" s="1"/>
  <c r="C49" i="6"/>
  <c r="C48" i="6" s="1"/>
  <c r="D25" i="6"/>
  <c r="C25" i="6"/>
  <c r="C84" i="6"/>
  <c r="C82" i="6" s="1"/>
  <c r="C67" i="6"/>
  <c r="C64" i="6" s="1"/>
  <c r="D36" i="6"/>
  <c r="D58" i="6"/>
  <c r="C10" i="6"/>
  <c r="D10" i="6"/>
  <c r="C28" i="6"/>
  <c r="E35" i="6"/>
  <c r="C89" i="6"/>
  <c r="C88" i="6" s="1"/>
  <c r="C87" i="6" s="1"/>
  <c r="E9" i="6"/>
  <c r="C58" i="6"/>
  <c r="C36" i="6"/>
  <c r="C51" i="6"/>
  <c r="C50" i="6" s="1"/>
  <c r="D50" i="6"/>
  <c r="D89" i="6"/>
  <c r="D88" i="6" s="1"/>
  <c r="D87" i="6" s="1"/>
  <c r="F8" i="6"/>
  <c r="F7" i="6" s="1"/>
  <c r="C80" i="6"/>
  <c r="E79" i="6"/>
  <c r="E85" i="6"/>
  <c r="C66" i="6"/>
  <c r="C85" i="6"/>
  <c r="C76" i="6"/>
  <c r="C81" i="6"/>
  <c r="C79" i="6"/>
  <c r="C86" i="6"/>
  <c r="C78" i="6"/>
  <c r="C73" i="6"/>
  <c r="C72" i="6"/>
  <c r="C65" i="6"/>
  <c r="G74" i="6"/>
  <c r="G75" i="6"/>
  <c r="F75" i="6"/>
  <c r="C77" i="6"/>
  <c r="F74" i="6"/>
  <c r="E8" i="6" l="1"/>
  <c r="E7" i="6" s="1"/>
  <c r="D35" i="6"/>
  <c r="D9" i="6"/>
  <c r="C35" i="6"/>
  <c r="C9" i="6"/>
  <c r="C74" i="6"/>
  <c r="E86" i="6"/>
  <c r="E75" i="6"/>
  <c r="C75" i="6"/>
  <c r="D8" i="6" l="1"/>
  <c r="D7" i="6" s="1"/>
  <c r="C8" i="6"/>
  <c r="C7" i="6" s="1"/>
  <c r="D645" i="3"/>
  <c r="H645" i="3" s="1"/>
  <c r="D644" i="3"/>
  <c r="H644" i="3" s="1"/>
  <c r="D643" i="3"/>
  <c r="H643" i="3" s="1"/>
  <c r="E641" i="3"/>
  <c r="E640" i="3"/>
  <c r="C635" i="3"/>
  <c r="C634" i="3"/>
  <c r="C633" i="3"/>
  <c r="C632" i="3"/>
  <c r="C631" i="3"/>
  <c r="C630" i="3"/>
  <c r="J629" i="3"/>
  <c r="I629" i="3"/>
  <c r="H629" i="3"/>
  <c r="G629" i="3"/>
  <c r="F629" i="3"/>
  <c r="E629" i="3"/>
  <c r="D629" i="3"/>
  <c r="J628" i="3"/>
  <c r="I628" i="3"/>
  <c r="H628" i="3"/>
  <c r="G628" i="3"/>
  <c r="F628" i="3"/>
  <c r="E628" i="3"/>
  <c r="D628" i="3"/>
  <c r="F627" i="3"/>
  <c r="C627" i="3"/>
  <c r="F626" i="3"/>
  <c r="C626" i="3" s="1"/>
  <c r="F625" i="3"/>
  <c r="C625" i="3" s="1"/>
  <c r="F624" i="3"/>
  <c r="C624" i="3" s="1"/>
  <c r="C623" i="3"/>
  <c r="C622" i="3"/>
  <c r="F621" i="3"/>
  <c r="C621" i="3"/>
  <c r="F620" i="3"/>
  <c r="C620" i="3" s="1"/>
  <c r="C619" i="3"/>
  <c r="C618" i="3"/>
  <c r="C617" i="3"/>
  <c r="C616" i="3"/>
  <c r="C615" i="3"/>
  <c r="C614" i="3"/>
  <c r="C613" i="3"/>
  <c r="C612" i="3"/>
  <c r="C611" i="3"/>
  <c r="C610" i="3"/>
  <c r="C609" i="3"/>
  <c r="C608" i="3"/>
  <c r="J607" i="3"/>
  <c r="I607" i="3"/>
  <c r="H607" i="3"/>
  <c r="G607" i="3"/>
  <c r="E607" i="3"/>
  <c r="E605" i="3" s="1"/>
  <c r="E603" i="3" s="1"/>
  <c r="D607" i="3"/>
  <c r="D605" i="3" s="1"/>
  <c r="D603" i="3" s="1"/>
  <c r="J606" i="3"/>
  <c r="I606" i="3"/>
  <c r="H606" i="3"/>
  <c r="G606" i="3"/>
  <c r="E606" i="3"/>
  <c r="D606" i="3"/>
  <c r="D604" i="3" s="1"/>
  <c r="D602" i="3" s="1"/>
  <c r="C601" i="3"/>
  <c r="C600" i="3"/>
  <c r="C599" i="3"/>
  <c r="C598" i="3"/>
  <c r="C597" i="3"/>
  <c r="C596" i="3"/>
  <c r="J595" i="3"/>
  <c r="J593" i="3" s="1"/>
  <c r="I595" i="3"/>
  <c r="I593" i="3" s="1"/>
  <c r="H595" i="3"/>
  <c r="H593" i="3" s="1"/>
  <c r="G595" i="3"/>
  <c r="F595" i="3"/>
  <c r="E595" i="3"/>
  <c r="E593" i="3" s="1"/>
  <c r="D595" i="3"/>
  <c r="D593" i="3" s="1"/>
  <c r="J594" i="3"/>
  <c r="I594" i="3"/>
  <c r="I592" i="3" s="1"/>
  <c r="H594" i="3"/>
  <c r="G594" i="3"/>
  <c r="G592" i="3" s="1"/>
  <c r="F594" i="3"/>
  <c r="E594" i="3"/>
  <c r="D594" i="3"/>
  <c r="D592" i="3" s="1"/>
  <c r="G593" i="3"/>
  <c r="F593" i="3"/>
  <c r="J592" i="3"/>
  <c r="F592" i="3"/>
  <c r="E592" i="3"/>
  <c r="C588" i="3"/>
  <c r="C587" i="3"/>
  <c r="C586" i="3"/>
  <c r="C585" i="3"/>
  <c r="J584" i="3"/>
  <c r="I584" i="3"/>
  <c r="I576" i="3" s="1"/>
  <c r="I574" i="3" s="1"/>
  <c r="H584" i="3"/>
  <c r="G584" i="3"/>
  <c r="F584" i="3"/>
  <c r="E584" i="3"/>
  <c r="D584" i="3"/>
  <c r="J583" i="3"/>
  <c r="I583" i="3"/>
  <c r="H583" i="3"/>
  <c r="H575" i="3" s="1"/>
  <c r="H573" i="3" s="1"/>
  <c r="G583" i="3"/>
  <c r="G575" i="3" s="1"/>
  <c r="G573" i="3" s="1"/>
  <c r="F583" i="3"/>
  <c r="E583" i="3"/>
  <c r="D583" i="3"/>
  <c r="F582" i="3"/>
  <c r="C582" i="3" s="1"/>
  <c r="F581" i="3"/>
  <c r="C581" i="3" s="1"/>
  <c r="F580" i="3"/>
  <c r="F578" i="3" s="1"/>
  <c r="F576" i="3" s="1"/>
  <c r="F574" i="3" s="1"/>
  <c r="F564" i="3" s="1"/>
  <c r="C580" i="3"/>
  <c r="F579" i="3"/>
  <c r="J578" i="3"/>
  <c r="I578" i="3"/>
  <c r="H578" i="3"/>
  <c r="G578" i="3"/>
  <c r="E578" i="3"/>
  <c r="E576" i="3" s="1"/>
  <c r="E574" i="3" s="1"/>
  <c r="D578" i="3"/>
  <c r="J577" i="3"/>
  <c r="J575" i="3" s="1"/>
  <c r="J573" i="3" s="1"/>
  <c r="I577" i="3"/>
  <c r="H577" i="3"/>
  <c r="G577" i="3"/>
  <c r="E577" i="3"/>
  <c r="D577" i="3"/>
  <c r="J576" i="3"/>
  <c r="J574" i="3" s="1"/>
  <c r="G576" i="3"/>
  <c r="G574" i="3" s="1"/>
  <c r="C572" i="3"/>
  <c r="C571" i="3"/>
  <c r="C570" i="3"/>
  <c r="C569" i="3"/>
  <c r="J568" i="3"/>
  <c r="J566" i="3" s="1"/>
  <c r="I568" i="3"/>
  <c r="I566" i="3" s="1"/>
  <c r="H568" i="3"/>
  <c r="G568" i="3"/>
  <c r="G566" i="3" s="1"/>
  <c r="F568" i="3"/>
  <c r="E568" i="3"/>
  <c r="E566" i="3" s="1"/>
  <c r="D568" i="3"/>
  <c r="J567" i="3"/>
  <c r="J565" i="3" s="1"/>
  <c r="I567" i="3"/>
  <c r="I565" i="3" s="1"/>
  <c r="H567" i="3"/>
  <c r="H565" i="3" s="1"/>
  <c r="G567" i="3"/>
  <c r="G565" i="3" s="1"/>
  <c r="F567" i="3"/>
  <c r="F565" i="3" s="1"/>
  <c r="E567" i="3"/>
  <c r="E565" i="3" s="1"/>
  <c r="D567" i="3"/>
  <c r="D565" i="3" s="1"/>
  <c r="F566" i="3"/>
  <c r="D566" i="3"/>
  <c r="C561" i="3"/>
  <c r="C560" i="3"/>
  <c r="C559" i="3"/>
  <c r="C558" i="3"/>
  <c r="J557" i="3"/>
  <c r="I557" i="3"/>
  <c r="H557" i="3"/>
  <c r="G557" i="3"/>
  <c r="F557" i="3"/>
  <c r="E557" i="3"/>
  <c r="D557" i="3"/>
  <c r="J556" i="3"/>
  <c r="I556" i="3"/>
  <c r="H556" i="3"/>
  <c r="G556" i="3"/>
  <c r="C556" i="3" s="1"/>
  <c r="F556" i="3"/>
  <c r="E556" i="3"/>
  <c r="D556" i="3"/>
  <c r="C555" i="3"/>
  <c r="C554" i="3"/>
  <c r="C553" i="3"/>
  <c r="C552" i="3"/>
  <c r="J551" i="3"/>
  <c r="J549" i="3" s="1"/>
  <c r="J547" i="3" s="1"/>
  <c r="I551" i="3"/>
  <c r="H551" i="3"/>
  <c r="G551" i="3"/>
  <c r="F551" i="3"/>
  <c r="E551" i="3"/>
  <c r="D551" i="3"/>
  <c r="D549" i="3" s="1"/>
  <c r="D547" i="3" s="1"/>
  <c r="J550" i="3"/>
  <c r="J548" i="3" s="1"/>
  <c r="J546" i="3" s="1"/>
  <c r="J538" i="3" s="1"/>
  <c r="I550" i="3"/>
  <c r="I548" i="3" s="1"/>
  <c r="I546" i="3" s="1"/>
  <c r="H550" i="3"/>
  <c r="G550" i="3"/>
  <c r="F550" i="3"/>
  <c r="F548" i="3" s="1"/>
  <c r="F546" i="3" s="1"/>
  <c r="E550" i="3"/>
  <c r="D550" i="3"/>
  <c r="D548" i="3" s="1"/>
  <c r="D546" i="3" s="1"/>
  <c r="I549" i="3"/>
  <c r="I547" i="3" s="1"/>
  <c r="F549" i="3"/>
  <c r="F547" i="3" s="1"/>
  <c r="C545" i="3"/>
  <c r="C544" i="3"/>
  <c r="J543" i="3"/>
  <c r="J541" i="3" s="1"/>
  <c r="I543" i="3"/>
  <c r="I541" i="3" s="1"/>
  <c r="H543" i="3"/>
  <c r="H541" i="3" s="1"/>
  <c r="G543" i="3"/>
  <c r="G541" i="3" s="1"/>
  <c r="F543" i="3"/>
  <c r="F541" i="3" s="1"/>
  <c r="E543" i="3"/>
  <c r="D543" i="3"/>
  <c r="D541" i="3" s="1"/>
  <c r="J542" i="3"/>
  <c r="J540" i="3" s="1"/>
  <c r="I542" i="3"/>
  <c r="H542" i="3"/>
  <c r="G542" i="3"/>
  <c r="F542" i="3"/>
  <c r="E542" i="3"/>
  <c r="E540" i="3" s="1"/>
  <c r="D542" i="3"/>
  <c r="E541" i="3"/>
  <c r="H540" i="3"/>
  <c r="G540" i="3"/>
  <c r="F540" i="3"/>
  <c r="D540" i="3"/>
  <c r="C536" i="3"/>
  <c r="C535" i="3"/>
  <c r="J534" i="3"/>
  <c r="I534" i="3"/>
  <c r="H534" i="3"/>
  <c r="G534" i="3"/>
  <c r="F534" i="3"/>
  <c r="E534" i="3"/>
  <c r="D534" i="3"/>
  <c r="J533" i="3"/>
  <c r="I533" i="3"/>
  <c r="H533" i="3"/>
  <c r="G533" i="3"/>
  <c r="F533" i="3"/>
  <c r="E533" i="3"/>
  <c r="D533" i="3"/>
  <c r="C533" i="3" s="1"/>
  <c r="F532" i="3"/>
  <c r="C647" i="3" s="1"/>
  <c r="F531" i="3"/>
  <c r="C530" i="3"/>
  <c r="C529" i="3"/>
  <c r="C528" i="3"/>
  <c r="C527" i="3"/>
  <c r="J526" i="3"/>
  <c r="J524" i="3" s="1"/>
  <c r="J522" i="3" s="1"/>
  <c r="I526" i="3"/>
  <c r="I524" i="3" s="1"/>
  <c r="I522" i="3" s="1"/>
  <c r="H526" i="3"/>
  <c r="G526" i="3"/>
  <c r="E526" i="3"/>
  <c r="D526" i="3"/>
  <c r="J525" i="3"/>
  <c r="I525" i="3"/>
  <c r="I523" i="3" s="1"/>
  <c r="I521" i="3" s="1"/>
  <c r="H525" i="3"/>
  <c r="G525" i="3"/>
  <c r="G523" i="3" s="1"/>
  <c r="G521" i="3" s="1"/>
  <c r="E525" i="3"/>
  <c r="D525" i="3"/>
  <c r="C520" i="3"/>
  <c r="C519" i="3"/>
  <c r="J518" i="3"/>
  <c r="J516" i="3" s="1"/>
  <c r="I518" i="3"/>
  <c r="I516" i="3" s="1"/>
  <c r="H518" i="3"/>
  <c r="H516" i="3" s="1"/>
  <c r="G518" i="3"/>
  <c r="G516" i="3" s="1"/>
  <c r="F518" i="3"/>
  <c r="E518" i="3"/>
  <c r="D518" i="3"/>
  <c r="D516" i="3" s="1"/>
  <c r="J517" i="3"/>
  <c r="J515" i="3" s="1"/>
  <c r="I517" i="3"/>
  <c r="H517" i="3"/>
  <c r="H515" i="3" s="1"/>
  <c r="G517" i="3"/>
  <c r="G515" i="3" s="1"/>
  <c r="F517" i="3"/>
  <c r="F515" i="3" s="1"/>
  <c r="E517" i="3"/>
  <c r="D517" i="3"/>
  <c r="F516" i="3"/>
  <c r="I515" i="3"/>
  <c r="D515"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J423" i="3"/>
  <c r="I423" i="3"/>
  <c r="H423" i="3"/>
  <c r="G423" i="3"/>
  <c r="F423" i="3"/>
  <c r="E423" i="3"/>
  <c r="D423" i="3"/>
  <c r="J422" i="3"/>
  <c r="J188" i="3" s="1"/>
  <c r="J186" i="3" s="1"/>
  <c r="I422" i="3"/>
  <c r="H422" i="3"/>
  <c r="G422" i="3"/>
  <c r="F422" i="3"/>
  <c r="E422" i="3"/>
  <c r="D422" i="3"/>
  <c r="F421" i="3"/>
  <c r="C421" i="3" s="1"/>
  <c r="F420" i="3"/>
  <c r="C420" i="3" s="1"/>
  <c r="F419" i="3"/>
  <c r="C419" i="3" s="1"/>
  <c r="F418" i="3"/>
  <c r="C418" i="3" s="1"/>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F345" i="3"/>
  <c r="C345" i="3" s="1"/>
  <c r="F344" i="3"/>
  <c r="C344" i="3" s="1"/>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F261" i="3"/>
  <c r="F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J191" i="3"/>
  <c r="I191" i="3"/>
  <c r="H191" i="3"/>
  <c r="H189" i="3" s="1"/>
  <c r="H187" i="3" s="1"/>
  <c r="G191" i="3"/>
  <c r="E191" i="3"/>
  <c r="E189" i="3" s="1"/>
  <c r="E187" i="3" s="1"/>
  <c r="D191" i="3"/>
  <c r="J190" i="3"/>
  <c r="I190" i="3"/>
  <c r="H190" i="3"/>
  <c r="H188" i="3" s="1"/>
  <c r="H186" i="3" s="1"/>
  <c r="G190" i="3"/>
  <c r="E190" i="3"/>
  <c r="D190" i="3"/>
  <c r="C185" i="3"/>
  <c r="C184" i="3"/>
  <c r="C183" i="3"/>
  <c r="C182" i="3"/>
  <c r="C181" i="3"/>
  <c r="C180" i="3"/>
  <c r="C179" i="3"/>
  <c r="C178" i="3"/>
  <c r="C177" i="3"/>
  <c r="C176" i="3"/>
  <c r="C175" i="3"/>
  <c r="C174" i="3"/>
  <c r="C173" i="3"/>
  <c r="C172" i="3"/>
  <c r="C171" i="3"/>
  <c r="C170" i="3"/>
  <c r="C169" i="3"/>
  <c r="F168" i="3"/>
  <c r="C168" i="3" s="1"/>
  <c r="C167" i="3"/>
  <c r="F166" i="3"/>
  <c r="C166" i="3" s="1"/>
  <c r="C165" i="3"/>
  <c r="C164" i="3"/>
  <c r="C163" i="3"/>
  <c r="F162" i="3"/>
  <c r="C162" i="3" s="1"/>
  <c r="C161" i="3"/>
  <c r="C160" i="3"/>
  <c r="C159" i="3"/>
  <c r="F158" i="3"/>
  <c r="J157" i="3"/>
  <c r="J155" i="3" s="1"/>
  <c r="I157" i="3"/>
  <c r="I155" i="3" s="1"/>
  <c r="H157" i="3"/>
  <c r="H155" i="3" s="1"/>
  <c r="H153" i="3" s="1"/>
  <c r="G157" i="3"/>
  <c r="F157" i="3"/>
  <c r="F155" i="3" s="1"/>
  <c r="E157" i="3"/>
  <c r="D157" i="3"/>
  <c r="D155" i="3" s="1"/>
  <c r="J156" i="3"/>
  <c r="I156" i="3"/>
  <c r="I154" i="3" s="1"/>
  <c r="H156" i="3"/>
  <c r="H154" i="3" s="1"/>
  <c r="H152" i="3" s="1"/>
  <c r="G156" i="3"/>
  <c r="G154" i="3" s="1"/>
  <c r="E156" i="3"/>
  <c r="D156" i="3"/>
  <c r="D154" i="3" s="1"/>
  <c r="C150" i="3"/>
  <c r="C149" i="3"/>
  <c r="C148" i="3"/>
  <c r="C147" i="3"/>
  <c r="C146" i="3"/>
  <c r="C145" i="3"/>
  <c r="J144" i="3"/>
  <c r="I144" i="3"/>
  <c r="H144" i="3"/>
  <c r="G144" i="3"/>
  <c r="F144" i="3"/>
  <c r="E144" i="3"/>
  <c r="D144" i="3"/>
  <c r="D117" i="3" s="1"/>
  <c r="J143" i="3"/>
  <c r="I143" i="3"/>
  <c r="H143" i="3"/>
  <c r="G143" i="3"/>
  <c r="F143" i="3"/>
  <c r="E143" i="3"/>
  <c r="D143" i="3"/>
  <c r="C142" i="3"/>
  <c r="C141" i="3"/>
  <c r="C140" i="3"/>
  <c r="C139" i="3"/>
  <c r="C138" i="3"/>
  <c r="C137" i="3"/>
  <c r="J136" i="3"/>
  <c r="J115" i="3" s="1"/>
  <c r="I136" i="3"/>
  <c r="H136" i="3"/>
  <c r="G136" i="3"/>
  <c r="F136" i="3"/>
  <c r="E136" i="3"/>
  <c r="D136" i="3"/>
  <c r="J135" i="3"/>
  <c r="I135" i="3"/>
  <c r="H135" i="3"/>
  <c r="G135" i="3"/>
  <c r="F135" i="3"/>
  <c r="E135" i="3"/>
  <c r="D135" i="3"/>
  <c r="C130" i="3"/>
  <c r="C129" i="3"/>
  <c r="C128" i="3"/>
  <c r="C127" i="3"/>
  <c r="C126" i="3"/>
  <c r="C125" i="3"/>
  <c r="J124" i="3"/>
  <c r="J122" i="3" s="1"/>
  <c r="I124" i="3"/>
  <c r="H124" i="3"/>
  <c r="H122" i="3" s="1"/>
  <c r="G124" i="3"/>
  <c r="G122" i="3" s="1"/>
  <c r="F124" i="3"/>
  <c r="F109" i="3" s="1"/>
  <c r="F107" i="3" s="1"/>
  <c r="E124" i="3"/>
  <c r="E122" i="3" s="1"/>
  <c r="D124" i="3"/>
  <c r="D122" i="3" s="1"/>
  <c r="J123" i="3"/>
  <c r="I123" i="3"/>
  <c r="H123" i="3"/>
  <c r="H121" i="3" s="1"/>
  <c r="G123" i="3"/>
  <c r="G121" i="3" s="1"/>
  <c r="F123" i="3"/>
  <c r="F121" i="3" s="1"/>
  <c r="E123" i="3"/>
  <c r="E121" i="3" s="1"/>
  <c r="D123" i="3"/>
  <c r="D121" i="3" s="1"/>
  <c r="J121" i="3"/>
  <c r="C102" i="3"/>
  <c r="C101" i="3"/>
  <c r="C100" i="3"/>
  <c r="C99" i="3"/>
  <c r="C98" i="3"/>
  <c r="C97" i="3"/>
  <c r="J96" i="3"/>
  <c r="I96" i="3"/>
  <c r="H96" i="3"/>
  <c r="G96" i="3"/>
  <c r="F96" i="3"/>
  <c r="E96" i="3"/>
  <c r="E86" i="3" s="1"/>
  <c r="E84" i="3" s="1"/>
  <c r="D96" i="3"/>
  <c r="J95" i="3"/>
  <c r="I95" i="3"/>
  <c r="H95" i="3"/>
  <c r="G95" i="3"/>
  <c r="F95" i="3"/>
  <c r="E95" i="3"/>
  <c r="D95" i="3"/>
  <c r="C94" i="3"/>
  <c r="C93" i="3"/>
  <c r="C92" i="3"/>
  <c r="C91" i="3"/>
  <c r="C90" i="3"/>
  <c r="C89" i="3"/>
  <c r="J88" i="3"/>
  <c r="I88" i="3"/>
  <c r="I86" i="3" s="1"/>
  <c r="I84" i="3" s="1"/>
  <c r="H88" i="3"/>
  <c r="G88" i="3"/>
  <c r="F88" i="3"/>
  <c r="E88" i="3"/>
  <c r="D88" i="3"/>
  <c r="J87" i="3"/>
  <c r="I87" i="3"/>
  <c r="H87" i="3"/>
  <c r="G87" i="3"/>
  <c r="F87" i="3"/>
  <c r="E87" i="3"/>
  <c r="D87" i="3"/>
  <c r="C82" i="3"/>
  <c r="C81" i="3"/>
  <c r="C80" i="3"/>
  <c r="C79" i="3"/>
  <c r="C78" i="3"/>
  <c r="C77" i="3"/>
  <c r="J76" i="3"/>
  <c r="I76" i="3"/>
  <c r="I74" i="3" s="1"/>
  <c r="H76" i="3"/>
  <c r="H74" i="3" s="1"/>
  <c r="G76" i="3"/>
  <c r="G74" i="3" s="1"/>
  <c r="F76" i="3"/>
  <c r="F74" i="3" s="1"/>
  <c r="E76" i="3"/>
  <c r="E74" i="3" s="1"/>
  <c r="D76" i="3"/>
  <c r="J75" i="3"/>
  <c r="I75" i="3"/>
  <c r="H75" i="3"/>
  <c r="H73" i="3" s="1"/>
  <c r="G75" i="3"/>
  <c r="F75" i="3"/>
  <c r="F73" i="3" s="1"/>
  <c r="E75" i="3"/>
  <c r="E73" i="3" s="1"/>
  <c r="D75" i="3"/>
  <c r="D73" i="3" s="1"/>
  <c r="J74" i="3"/>
  <c r="G73" i="3"/>
  <c r="C69" i="3"/>
  <c r="C68" i="3"/>
  <c r="C67" i="3"/>
  <c r="C66" i="3"/>
  <c r="J65" i="3"/>
  <c r="J53" i="3" s="1"/>
  <c r="J51" i="3" s="1"/>
  <c r="I65" i="3"/>
  <c r="H65" i="3"/>
  <c r="G65" i="3"/>
  <c r="F65" i="3"/>
  <c r="E65" i="3"/>
  <c r="D65" i="3"/>
  <c r="J64" i="3"/>
  <c r="I64" i="3"/>
  <c r="I52" i="3" s="1"/>
  <c r="I50" i="3" s="1"/>
  <c r="I38" i="3" s="1"/>
  <c r="H64" i="3"/>
  <c r="G64" i="3"/>
  <c r="F64" i="3"/>
  <c r="E64" i="3"/>
  <c r="D64" i="3"/>
  <c r="C63" i="3"/>
  <c r="C62" i="3"/>
  <c r="C61" i="3"/>
  <c r="C60" i="3"/>
  <c r="C59" i="3"/>
  <c r="C58" i="3"/>
  <c r="C57" i="3"/>
  <c r="C56" i="3"/>
  <c r="J55" i="3"/>
  <c r="I55" i="3"/>
  <c r="I53" i="3" s="1"/>
  <c r="I51" i="3" s="1"/>
  <c r="H55" i="3"/>
  <c r="H53" i="3" s="1"/>
  <c r="H51" i="3" s="1"/>
  <c r="H39" i="3" s="1"/>
  <c r="G55" i="3"/>
  <c r="F55" i="3"/>
  <c r="E55" i="3"/>
  <c r="E53" i="3" s="1"/>
  <c r="E51" i="3" s="1"/>
  <c r="D55" i="3"/>
  <c r="D53" i="3" s="1"/>
  <c r="D51" i="3" s="1"/>
  <c r="J54" i="3"/>
  <c r="I54" i="3"/>
  <c r="H54" i="3"/>
  <c r="H52" i="3" s="1"/>
  <c r="H50" i="3" s="1"/>
  <c r="H38" i="3" s="1"/>
  <c r="G54" i="3"/>
  <c r="F54" i="3"/>
  <c r="E54" i="3"/>
  <c r="D54" i="3"/>
  <c r="D52" i="3" s="1"/>
  <c r="D50" i="3" s="1"/>
  <c r="C49" i="3"/>
  <c r="C48" i="3"/>
  <c r="C47" i="3"/>
  <c r="C46" i="3"/>
  <c r="C45" i="3"/>
  <c r="C44" i="3"/>
  <c r="J43" i="3"/>
  <c r="I43" i="3"/>
  <c r="I41" i="3" s="1"/>
  <c r="H43" i="3"/>
  <c r="G43" i="3"/>
  <c r="F43" i="3"/>
  <c r="F41" i="3" s="1"/>
  <c r="E43" i="3"/>
  <c r="D43" i="3"/>
  <c r="D41" i="3" s="1"/>
  <c r="J42" i="3"/>
  <c r="J40" i="3" s="1"/>
  <c r="I42" i="3"/>
  <c r="I40" i="3" s="1"/>
  <c r="H42" i="3"/>
  <c r="H40" i="3" s="1"/>
  <c r="G42" i="3"/>
  <c r="F42" i="3"/>
  <c r="E42" i="3"/>
  <c r="D42" i="3"/>
  <c r="D40" i="3" s="1"/>
  <c r="H41" i="3"/>
  <c r="G41" i="3"/>
  <c r="G40" i="3"/>
  <c r="F40" i="3"/>
  <c r="AC431" i="2"/>
  <c r="AA431" i="2"/>
  <c r="X431" i="2"/>
  <c r="N431" i="2" s="1"/>
  <c r="W431" i="2"/>
  <c r="V431" i="2"/>
  <c r="U431" i="2"/>
  <c r="O431" i="2"/>
  <c r="AA430" i="2"/>
  <c r="Z430" i="2"/>
  <c r="X430" i="2"/>
  <c r="W430" i="2"/>
  <c r="V430" i="2"/>
  <c r="U430" i="2"/>
  <c r="K430" i="2" s="1"/>
  <c r="O430" i="2"/>
  <c r="AC429" i="2"/>
  <c r="AB429" i="2"/>
  <c r="X429" i="2"/>
  <c r="W429" i="2"/>
  <c r="M429" i="2" s="1"/>
  <c r="V429" i="2"/>
  <c r="U429" i="2"/>
  <c r="O429" i="2"/>
  <c r="AC428" i="2"/>
  <c r="AB428" i="2"/>
  <c r="AA428" i="2"/>
  <c r="X428" i="2"/>
  <c r="N428" i="2" s="1"/>
  <c r="W428" i="2"/>
  <c r="V428" i="2"/>
  <c r="U428" i="2"/>
  <c r="O428" i="2"/>
  <c r="AC427" i="2"/>
  <c r="AB427" i="2"/>
  <c r="AA427" i="2"/>
  <c r="Z427" i="2"/>
  <c r="X427" i="2"/>
  <c r="N427" i="2" s="1"/>
  <c r="W427" i="2"/>
  <c r="V427" i="2"/>
  <c r="U427" i="2"/>
  <c r="O427" i="2"/>
  <c r="AC426" i="2"/>
  <c r="AB426" i="2"/>
  <c r="AA426" i="2"/>
  <c r="Z426" i="2"/>
  <c r="X426" i="2"/>
  <c r="W426" i="2"/>
  <c r="V426" i="2"/>
  <c r="U426" i="2"/>
  <c r="O426" i="2"/>
  <c r="X425" i="2"/>
  <c r="V425" i="2"/>
  <c r="O425" i="2"/>
  <c r="AA424" i="2"/>
  <c r="X424" i="2"/>
  <c r="W424" i="2"/>
  <c r="V424" i="2"/>
  <c r="O424" i="2"/>
  <c r="X423" i="2"/>
  <c r="W423" i="2"/>
  <c r="V423" i="2"/>
  <c r="U423" i="2"/>
  <c r="O423" i="2"/>
  <c r="AA422" i="2"/>
  <c r="X422" i="2"/>
  <c r="W422" i="2"/>
  <c r="V422" i="2"/>
  <c r="U422" i="2"/>
  <c r="O422" i="2"/>
  <c r="S421" i="2"/>
  <c r="R421" i="2"/>
  <c r="R419" i="2" s="1"/>
  <c r="Q421" i="2"/>
  <c r="P421" i="2"/>
  <c r="P419" i="2" s="1"/>
  <c r="S420" i="2"/>
  <c r="S418" i="2" s="1"/>
  <c r="S416" i="2" s="1"/>
  <c r="S272" i="2" s="1"/>
  <c r="R420" i="2"/>
  <c r="R418" i="2" s="1"/>
  <c r="R416" i="2" s="1"/>
  <c r="R272" i="2" s="1"/>
  <c r="Q420" i="2"/>
  <c r="Q418" i="2" s="1"/>
  <c r="Q416" i="2" s="1"/>
  <c r="Q272" i="2" s="1"/>
  <c r="P420" i="2"/>
  <c r="P418" i="2" s="1"/>
  <c r="P274" i="2" s="1"/>
  <c r="S419" i="2"/>
  <c r="S417" i="2" s="1"/>
  <c r="S273" i="2" s="1"/>
  <c r="AC415" i="2"/>
  <c r="AB415" i="2"/>
  <c r="X415" i="2"/>
  <c r="W415" i="2"/>
  <c r="O415" i="2"/>
  <c r="AC414" i="2"/>
  <c r="AB414" i="2"/>
  <c r="AA414" i="2"/>
  <c r="X414" i="2"/>
  <c r="W414" i="2"/>
  <c r="V414" i="2"/>
  <c r="O414" i="2"/>
  <c r="X413" i="2"/>
  <c r="W413" i="2"/>
  <c r="V413" i="2"/>
  <c r="U413" i="2"/>
  <c r="O413" i="2"/>
  <c r="AC412" i="2"/>
  <c r="AB412" i="2"/>
  <c r="AA412" i="2"/>
  <c r="X412" i="2"/>
  <c r="W412" i="2"/>
  <c r="V412" i="2"/>
  <c r="U412" i="2"/>
  <c r="O412" i="2"/>
  <c r="AC411" i="2"/>
  <c r="AA411" i="2"/>
  <c r="Z411" i="2"/>
  <c r="X411" i="2"/>
  <c r="W411" i="2"/>
  <c r="V411" i="2"/>
  <c r="L411" i="2" s="1"/>
  <c r="U411" i="2"/>
  <c r="O411" i="2"/>
  <c r="AC410" i="2"/>
  <c r="AA410" i="2"/>
  <c r="Z410" i="2"/>
  <c r="X410" i="2"/>
  <c r="W410" i="2"/>
  <c r="V410" i="2"/>
  <c r="V408" i="2" s="1"/>
  <c r="V270" i="2" s="1"/>
  <c r="U410" i="2"/>
  <c r="O410" i="2"/>
  <c r="S409" i="2"/>
  <c r="S271" i="2" s="1"/>
  <c r="R409" i="2"/>
  <c r="Q409" i="2"/>
  <c r="Q271" i="2" s="1"/>
  <c r="P409" i="2"/>
  <c r="P271" i="2" s="1"/>
  <c r="S408" i="2"/>
  <c r="S270" i="2" s="1"/>
  <c r="R408" i="2"/>
  <c r="R270" i="2" s="1"/>
  <c r="Q408" i="2"/>
  <c r="Q270" i="2" s="1"/>
  <c r="P408" i="2"/>
  <c r="AC407" i="2"/>
  <c r="AB407" i="2"/>
  <c r="AA407" i="2"/>
  <c r="Z407" i="2"/>
  <c r="X407" i="2"/>
  <c r="N407" i="2" s="1"/>
  <c r="W407" i="2"/>
  <c r="V407" i="2"/>
  <c r="U407" i="2"/>
  <c r="AC406" i="2"/>
  <c r="AB406" i="2"/>
  <c r="AA406" i="2"/>
  <c r="Z406" i="2"/>
  <c r="X406" i="2"/>
  <c r="W406" i="2"/>
  <c r="M406" i="2" s="1"/>
  <c r="V406" i="2"/>
  <c r="U406" i="2"/>
  <c r="AC405" i="2"/>
  <c r="AB405" i="2"/>
  <c r="AA405" i="2"/>
  <c r="X405" i="2"/>
  <c r="N405" i="2" s="1"/>
  <c r="W405" i="2"/>
  <c r="V405" i="2"/>
  <c r="V257" i="2" s="1"/>
  <c r="V256" i="2" s="1"/>
  <c r="V255" i="2" s="1"/>
  <c r="U405" i="2"/>
  <c r="U257" i="2" s="1"/>
  <c r="O405" i="2"/>
  <c r="AC404" i="2"/>
  <c r="AB404" i="2"/>
  <c r="AA404" i="2"/>
  <c r="X404" i="2"/>
  <c r="W404" i="2"/>
  <c r="V404" i="2"/>
  <c r="U404" i="2"/>
  <c r="O404" i="2"/>
  <c r="AC403" i="2"/>
  <c r="AB403" i="2"/>
  <c r="AA403" i="2"/>
  <c r="Z403" i="2"/>
  <c r="X403" i="2"/>
  <c r="W403" i="2"/>
  <c r="V403" i="2"/>
  <c r="U403" i="2"/>
  <c r="AC402" i="2"/>
  <c r="AB402" i="2"/>
  <c r="AA402" i="2"/>
  <c r="Z402" i="2"/>
  <c r="X402" i="2"/>
  <c r="N402" i="2" s="1"/>
  <c r="W402" i="2"/>
  <c r="V402" i="2"/>
  <c r="U402" i="2"/>
  <c r="S401" i="2"/>
  <c r="R401" i="2"/>
  <c r="Q401" i="2"/>
  <c r="Q257" i="2" s="1"/>
  <c r="Q256" i="2" s="1"/>
  <c r="P401" i="2"/>
  <c r="P257" i="2" s="1"/>
  <c r="P256" i="2" s="1"/>
  <c r="P255" i="2" s="1"/>
  <c r="S400" i="2"/>
  <c r="R400" i="2"/>
  <c r="Q400" i="2"/>
  <c r="P400" i="2"/>
  <c r="AC399" i="2"/>
  <c r="AB399" i="2"/>
  <c r="AA399" i="2"/>
  <c r="L399" i="2" s="1"/>
  <c r="Z399" i="2"/>
  <c r="X399" i="2"/>
  <c r="W399" i="2"/>
  <c r="M399" i="2" s="1"/>
  <c r="V399" i="2"/>
  <c r="U399" i="2"/>
  <c r="O399" i="2"/>
  <c r="AC398" i="2"/>
  <c r="AB398" i="2"/>
  <c r="AA398" i="2"/>
  <c r="L398" i="2" s="1"/>
  <c r="Z398" i="2"/>
  <c r="X398" i="2"/>
  <c r="N398" i="2" s="1"/>
  <c r="W398" i="2"/>
  <c r="V398" i="2"/>
  <c r="U398" i="2"/>
  <c r="O398" i="2"/>
  <c r="AC397" i="2"/>
  <c r="AB397" i="2"/>
  <c r="AA397" i="2"/>
  <c r="Z397" i="2"/>
  <c r="X397" i="2"/>
  <c r="W397" i="2"/>
  <c r="V397" i="2"/>
  <c r="U397" i="2"/>
  <c r="R397" i="2"/>
  <c r="AC396" i="2"/>
  <c r="AB396" i="2"/>
  <c r="AA396" i="2"/>
  <c r="Z396" i="2"/>
  <c r="X396" i="2"/>
  <c r="W396" i="2"/>
  <c r="V396" i="2"/>
  <c r="U396" i="2"/>
  <c r="S396" i="2"/>
  <c r="R396" i="2"/>
  <c r="Q396" i="2"/>
  <c r="P396" i="2"/>
  <c r="AC395" i="2"/>
  <c r="AB395" i="2"/>
  <c r="AA395" i="2"/>
  <c r="Z395" i="2"/>
  <c r="X395" i="2"/>
  <c r="W395" i="2"/>
  <c r="V395" i="2"/>
  <c r="V393" i="2" s="1"/>
  <c r="U395" i="2"/>
  <c r="AC394" i="2"/>
  <c r="AB394" i="2"/>
  <c r="AA394" i="2"/>
  <c r="Z394" i="2"/>
  <c r="X394" i="2"/>
  <c r="W394" i="2"/>
  <c r="V394" i="2"/>
  <c r="U394" i="2"/>
  <c r="S394" i="2"/>
  <c r="R394" i="2"/>
  <c r="Q394" i="2"/>
  <c r="P394" i="2"/>
  <c r="AC389" i="2"/>
  <c r="AB389" i="2"/>
  <c r="AA389" i="2"/>
  <c r="Z389" i="2"/>
  <c r="O389" i="2"/>
  <c r="AC388" i="2"/>
  <c r="AB388" i="2"/>
  <c r="AA388" i="2"/>
  <c r="Z388" i="2"/>
  <c r="X388" i="2"/>
  <c r="N388" i="2" s="1"/>
  <c r="W388" i="2"/>
  <c r="V388" i="2"/>
  <c r="O388" i="2"/>
  <c r="AC387" i="2"/>
  <c r="AB387" i="2"/>
  <c r="AA387" i="2"/>
  <c r="Z387" i="2"/>
  <c r="X387" i="2"/>
  <c r="W387" i="2"/>
  <c r="V387" i="2"/>
  <c r="U387" i="2"/>
  <c r="O387" i="2"/>
  <c r="AC386" i="2"/>
  <c r="AB386" i="2"/>
  <c r="AB384" i="2" s="1"/>
  <c r="AB266" i="2" s="1"/>
  <c r="AA386" i="2"/>
  <c r="Z386" i="2"/>
  <c r="K386" i="2" s="1"/>
  <c r="X386" i="2"/>
  <c r="W386" i="2"/>
  <c r="V386" i="2"/>
  <c r="U386" i="2"/>
  <c r="O386" i="2"/>
  <c r="S385" i="2"/>
  <c r="S267" i="2" s="1"/>
  <c r="R385" i="2"/>
  <c r="R267" i="2" s="1"/>
  <c r="Q385" i="2"/>
  <c r="P385" i="2"/>
  <c r="S384" i="2"/>
  <c r="R384" i="2"/>
  <c r="Q384" i="2"/>
  <c r="P384" i="2"/>
  <c r="P266" i="2" s="1"/>
  <c r="AC383" i="2"/>
  <c r="AB383" i="2"/>
  <c r="AA383" i="2"/>
  <c r="X383" i="2"/>
  <c r="W383" i="2"/>
  <c r="V383" i="2"/>
  <c r="O383" i="2"/>
  <c r="AC382" i="2"/>
  <c r="AB382" i="2"/>
  <c r="AA382" i="2"/>
  <c r="X382" i="2"/>
  <c r="W382" i="2"/>
  <c r="V382" i="2"/>
  <c r="O382" i="2"/>
  <c r="AC381" i="2"/>
  <c r="O381" i="2"/>
  <c r="AC380" i="2"/>
  <c r="AB380" i="2"/>
  <c r="AA380" i="2"/>
  <c r="X380" i="2"/>
  <c r="W380" i="2"/>
  <c r="V380" i="2"/>
  <c r="O380" i="2"/>
  <c r="AC379" i="2"/>
  <c r="AB379" i="2"/>
  <c r="AA379" i="2"/>
  <c r="Z379" i="2"/>
  <c r="X379" i="2"/>
  <c r="N379" i="2" s="1"/>
  <c r="W379" i="2"/>
  <c r="V379" i="2"/>
  <c r="U379" i="2"/>
  <c r="O379" i="2"/>
  <c r="AC378" i="2"/>
  <c r="AB378" i="2"/>
  <c r="AA378" i="2"/>
  <c r="X378" i="2"/>
  <c r="W378" i="2"/>
  <c r="V378" i="2"/>
  <c r="U378" i="2"/>
  <c r="O378" i="2"/>
  <c r="AC377" i="2"/>
  <c r="AB377" i="2"/>
  <c r="AA377" i="2"/>
  <c r="Z377" i="2"/>
  <c r="X377" i="2"/>
  <c r="W377" i="2"/>
  <c r="V377" i="2"/>
  <c r="L377" i="2" s="1"/>
  <c r="U377" i="2"/>
  <c r="O377" i="2"/>
  <c r="AC376" i="2"/>
  <c r="AB376" i="2"/>
  <c r="AA376" i="2"/>
  <c r="Z376" i="2"/>
  <c r="X376" i="2"/>
  <c r="W376" i="2"/>
  <c r="V376" i="2"/>
  <c r="U376" i="2"/>
  <c r="O376" i="2"/>
  <c r="AC375" i="2"/>
  <c r="AB375" i="2"/>
  <c r="AA375" i="2"/>
  <c r="X375" i="2"/>
  <c r="W375" i="2"/>
  <c r="V375" i="2"/>
  <c r="O375" i="2"/>
  <c r="AC374" i="2"/>
  <c r="AB374" i="2"/>
  <c r="AA374" i="2"/>
  <c r="X374" i="2"/>
  <c r="W374" i="2"/>
  <c r="V374" i="2"/>
  <c r="O374" i="2"/>
  <c r="S373" i="2"/>
  <c r="R373" i="2"/>
  <c r="Q373" i="2"/>
  <c r="P373" i="2"/>
  <c r="S372" i="2"/>
  <c r="R372" i="2"/>
  <c r="Q372" i="2"/>
  <c r="P372" i="2"/>
  <c r="AC371" i="2"/>
  <c r="AB371" i="2"/>
  <c r="AA371" i="2"/>
  <c r="X371" i="2"/>
  <c r="W371" i="2"/>
  <c r="V371" i="2"/>
  <c r="O371" i="2"/>
  <c r="AC370" i="2"/>
  <c r="AB370" i="2"/>
  <c r="AA370" i="2"/>
  <c r="X370" i="2"/>
  <c r="W370" i="2"/>
  <c r="V370" i="2"/>
  <c r="O370" i="2"/>
  <c r="AC369" i="2"/>
  <c r="AB369" i="2"/>
  <c r="X369" i="2"/>
  <c r="W369" i="2"/>
  <c r="V369" i="2"/>
  <c r="U369" i="2"/>
  <c r="O369" i="2"/>
  <c r="AC368" i="2"/>
  <c r="AB368" i="2"/>
  <c r="AA368" i="2"/>
  <c r="X368" i="2"/>
  <c r="N368" i="2" s="1"/>
  <c r="W368" i="2"/>
  <c r="V368" i="2"/>
  <c r="U368" i="2"/>
  <c r="O368" i="2"/>
  <c r="AC367" i="2"/>
  <c r="AB367" i="2"/>
  <c r="AA367" i="2"/>
  <c r="Z367" i="2"/>
  <c r="X367" i="2"/>
  <c r="W367" i="2"/>
  <c r="V367" i="2"/>
  <c r="U367" i="2"/>
  <c r="O367" i="2"/>
  <c r="AC366" i="2"/>
  <c r="AB366" i="2"/>
  <c r="AA366" i="2"/>
  <c r="Z366" i="2"/>
  <c r="X366" i="2"/>
  <c r="W366" i="2"/>
  <c r="M366" i="2" s="1"/>
  <c r="V366" i="2"/>
  <c r="U366" i="2"/>
  <c r="O366" i="2"/>
  <c r="AC365" i="2"/>
  <c r="AB365" i="2"/>
  <c r="AA365" i="2"/>
  <c r="X365" i="2"/>
  <c r="W365" i="2"/>
  <c r="V365" i="2"/>
  <c r="O365" i="2"/>
  <c r="AC364" i="2"/>
  <c r="AB364" i="2"/>
  <c r="AA364" i="2"/>
  <c r="X364" i="2"/>
  <c r="W364" i="2"/>
  <c r="V364" i="2"/>
  <c r="O364" i="2"/>
  <c r="AC363" i="2"/>
  <c r="AB363" i="2"/>
  <c r="AA363" i="2"/>
  <c r="X363" i="2"/>
  <c r="W363" i="2"/>
  <c r="V363" i="2"/>
  <c r="U363" i="2"/>
  <c r="O363" i="2"/>
  <c r="AC362" i="2"/>
  <c r="AB362" i="2"/>
  <c r="AA362" i="2"/>
  <c r="X362" i="2"/>
  <c r="W362" i="2"/>
  <c r="V362" i="2"/>
  <c r="U362" i="2"/>
  <c r="O362" i="2"/>
  <c r="AC361" i="2"/>
  <c r="AB361" i="2"/>
  <c r="AA361" i="2"/>
  <c r="X361" i="2"/>
  <c r="W361" i="2"/>
  <c r="M361" i="2" s="1"/>
  <c r="V361" i="2"/>
  <c r="O361" i="2"/>
  <c r="L361" i="2"/>
  <c r="AC360" i="2"/>
  <c r="AB360" i="2"/>
  <c r="AA360" i="2"/>
  <c r="X360" i="2"/>
  <c r="W360" i="2"/>
  <c r="M360" i="2" s="1"/>
  <c r="V360" i="2"/>
  <c r="O360" i="2"/>
  <c r="AC359" i="2"/>
  <c r="AB359" i="2"/>
  <c r="AA359" i="2"/>
  <c r="X359" i="2"/>
  <c r="W359" i="2"/>
  <c r="V359" i="2"/>
  <c r="L359" i="2" s="1"/>
  <c r="L357" i="2" s="1"/>
  <c r="O359" i="2"/>
  <c r="AC358" i="2"/>
  <c r="AB358" i="2"/>
  <c r="AA358" i="2"/>
  <c r="X358" i="2"/>
  <c r="W358" i="2"/>
  <c r="V358" i="2"/>
  <c r="L358" i="2" s="1"/>
  <c r="O358" i="2"/>
  <c r="S357" i="2"/>
  <c r="R357" i="2"/>
  <c r="Q357" i="2"/>
  <c r="P357" i="2"/>
  <c r="S356" i="2"/>
  <c r="R356" i="2"/>
  <c r="Q356" i="2"/>
  <c r="P356" i="2"/>
  <c r="Z355" i="2"/>
  <c r="U355" i="2"/>
  <c r="O355" i="2"/>
  <c r="AC354" i="2"/>
  <c r="AB354" i="2"/>
  <c r="AA354" i="2"/>
  <c r="X354" i="2"/>
  <c r="W354" i="2"/>
  <c r="V354" i="2"/>
  <c r="O354" i="2"/>
  <c r="S353" i="2"/>
  <c r="R353" i="2"/>
  <c r="Q353" i="2"/>
  <c r="P353" i="2"/>
  <c r="S352" i="2"/>
  <c r="R352" i="2"/>
  <c r="Q352" i="2"/>
  <c r="P352" i="2"/>
  <c r="AC351" i="2"/>
  <c r="AB351" i="2"/>
  <c r="AA351" i="2"/>
  <c r="X351" i="2"/>
  <c r="W351" i="2"/>
  <c r="V351" i="2"/>
  <c r="U351" i="2"/>
  <c r="O351" i="2"/>
  <c r="AC350" i="2"/>
  <c r="AB350" i="2"/>
  <c r="AA350" i="2"/>
  <c r="X350" i="2"/>
  <c r="W350" i="2"/>
  <c r="V350" i="2"/>
  <c r="U350" i="2"/>
  <c r="O350" i="2"/>
  <c r="AC349" i="2"/>
  <c r="AB349" i="2"/>
  <c r="AA349" i="2"/>
  <c r="Z349" i="2"/>
  <c r="O349" i="2"/>
  <c r="AC348" i="2"/>
  <c r="AB348" i="2"/>
  <c r="AA348" i="2"/>
  <c r="Z348" i="2"/>
  <c r="X348" i="2"/>
  <c r="W348" i="2"/>
  <c r="M348" i="2" s="1"/>
  <c r="V348" i="2"/>
  <c r="O348" i="2"/>
  <c r="O347" i="2"/>
  <c r="AC346" i="2"/>
  <c r="AB346" i="2"/>
  <c r="AA346" i="2"/>
  <c r="V346" i="2"/>
  <c r="O346" i="2"/>
  <c r="AA345" i="2"/>
  <c r="Z345" i="2"/>
  <c r="V345" i="2"/>
  <c r="U345" i="2"/>
  <c r="O345" i="2"/>
  <c r="AC344" i="2"/>
  <c r="AA344" i="2"/>
  <c r="Z344" i="2"/>
  <c r="X344" i="2"/>
  <c r="W344" i="2"/>
  <c r="V344" i="2"/>
  <c r="O344" i="2"/>
  <c r="AC343" i="2"/>
  <c r="AB343" i="2"/>
  <c r="AA343" i="2"/>
  <c r="X343" i="2"/>
  <c r="W343" i="2"/>
  <c r="V343" i="2"/>
  <c r="O343" i="2"/>
  <c r="AC342" i="2"/>
  <c r="AB342" i="2"/>
  <c r="AA342" i="2"/>
  <c r="X342" i="2"/>
  <c r="W342" i="2"/>
  <c r="V342" i="2"/>
  <c r="O342" i="2"/>
  <c r="AC341" i="2"/>
  <c r="AB341" i="2"/>
  <c r="AA341" i="2"/>
  <c r="Z341" i="2"/>
  <c r="O341" i="2"/>
  <c r="AC340" i="2"/>
  <c r="AB340" i="2"/>
  <c r="AA340" i="2"/>
  <c r="Z340" i="2"/>
  <c r="X340" i="2"/>
  <c r="N340" i="2" s="1"/>
  <c r="W340" i="2"/>
  <c r="V340" i="2"/>
  <c r="O340" i="2"/>
  <c r="X339" i="2"/>
  <c r="O339" i="2"/>
  <c r="AC338" i="2"/>
  <c r="AB338" i="2"/>
  <c r="AA338" i="2"/>
  <c r="X338" i="2"/>
  <c r="W338" i="2"/>
  <c r="V338" i="2"/>
  <c r="O338" i="2"/>
  <c r="Z337" i="2"/>
  <c r="X337" i="2"/>
  <c r="W337" i="2"/>
  <c r="V337" i="2"/>
  <c r="U337" i="2"/>
  <c r="O337" i="2"/>
  <c r="AC336" i="2"/>
  <c r="AA336" i="2"/>
  <c r="X336" i="2"/>
  <c r="W336" i="2"/>
  <c r="V336" i="2"/>
  <c r="U336" i="2"/>
  <c r="O336" i="2"/>
  <c r="X335" i="2"/>
  <c r="W335" i="2"/>
  <c r="V335" i="2"/>
  <c r="U335" i="2"/>
  <c r="O335" i="2"/>
  <c r="AC334" i="2"/>
  <c r="AB334" i="2"/>
  <c r="AA334" i="2"/>
  <c r="X334" i="2"/>
  <c r="W334" i="2"/>
  <c r="V334" i="2"/>
  <c r="U334" i="2"/>
  <c r="O334" i="2"/>
  <c r="AC333" i="2"/>
  <c r="AB333" i="2"/>
  <c r="X333" i="2"/>
  <c r="W333" i="2"/>
  <c r="V333" i="2"/>
  <c r="U333" i="2"/>
  <c r="O333" i="2"/>
  <c r="AC332" i="2"/>
  <c r="AB332" i="2"/>
  <c r="AA332" i="2"/>
  <c r="X332" i="2"/>
  <c r="W332" i="2"/>
  <c r="V332" i="2"/>
  <c r="L332" i="2" s="1"/>
  <c r="U332" i="2"/>
  <c r="O332" i="2"/>
  <c r="AC331" i="2"/>
  <c r="AB331" i="2"/>
  <c r="AA331" i="2"/>
  <c r="Z331" i="2"/>
  <c r="U331" i="2"/>
  <c r="O331" i="2"/>
  <c r="AC330" i="2"/>
  <c r="AB330" i="2"/>
  <c r="AA330" i="2"/>
  <c r="Z330" i="2"/>
  <c r="X330" i="2"/>
  <c r="N330" i="2" s="1"/>
  <c r="W330" i="2"/>
  <c r="V330" i="2"/>
  <c r="O330" i="2"/>
  <c r="S329" i="2"/>
  <c r="R329" i="2"/>
  <c r="Q329" i="2"/>
  <c r="P329" i="2"/>
  <c r="P327" i="2" s="1"/>
  <c r="P265" i="2" s="1"/>
  <c r="S328" i="2"/>
  <c r="R328" i="2"/>
  <c r="Q328" i="2"/>
  <c r="P328" i="2"/>
  <c r="O325" i="2"/>
  <c r="AC324" i="2"/>
  <c r="AB324" i="2"/>
  <c r="AA324" i="2"/>
  <c r="X324" i="2"/>
  <c r="W324" i="2"/>
  <c r="V324" i="2"/>
  <c r="O324" i="2"/>
  <c r="AC323" i="2"/>
  <c r="AB323" i="2"/>
  <c r="AA323" i="2"/>
  <c r="Z323" i="2"/>
  <c r="X323" i="2"/>
  <c r="W323" i="2"/>
  <c r="V323" i="2"/>
  <c r="O323" i="2"/>
  <c r="AC322" i="2"/>
  <c r="AB322" i="2"/>
  <c r="AA322" i="2"/>
  <c r="Z322" i="2"/>
  <c r="X322" i="2"/>
  <c r="W322" i="2"/>
  <c r="V322" i="2"/>
  <c r="O322" i="2"/>
  <c r="AC321" i="2"/>
  <c r="AB321" i="2"/>
  <c r="AA321" i="2"/>
  <c r="L321" i="2" s="1"/>
  <c r="X321" i="2"/>
  <c r="W321" i="2"/>
  <c r="V321" i="2"/>
  <c r="O321" i="2"/>
  <c r="AC320" i="2"/>
  <c r="AB320" i="2"/>
  <c r="AA320" i="2"/>
  <c r="X320" i="2"/>
  <c r="W320" i="2"/>
  <c r="V320" i="2"/>
  <c r="O320" i="2"/>
  <c r="AC319" i="2"/>
  <c r="AB319" i="2"/>
  <c r="AA319" i="2"/>
  <c r="Z319" i="2"/>
  <c r="X319" i="2"/>
  <c r="W319" i="2"/>
  <c r="V319" i="2"/>
  <c r="L319" i="2" s="1"/>
  <c r="O319" i="2"/>
  <c r="AC318" i="2"/>
  <c r="AB318" i="2"/>
  <c r="AA318" i="2"/>
  <c r="Z318" i="2"/>
  <c r="X318" i="2"/>
  <c r="W318" i="2"/>
  <c r="V318" i="2"/>
  <c r="L318" i="2" s="1"/>
  <c r="O318" i="2"/>
  <c r="AC317" i="2"/>
  <c r="AB317" i="2"/>
  <c r="AA317" i="2"/>
  <c r="X317" i="2"/>
  <c r="W317" i="2"/>
  <c r="V317" i="2"/>
  <c r="O317" i="2"/>
  <c r="AC316" i="2"/>
  <c r="AB316" i="2"/>
  <c r="AA316" i="2"/>
  <c r="X316" i="2"/>
  <c r="W316" i="2"/>
  <c r="V316" i="2"/>
  <c r="O316" i="2"/>
  <c r="AC315" i="2"/>
  <c r="AB315" i="2"/>
  <c r="AA315" i="2"/>
  <c r="X315" i="2"/>
  <c r="W315" i="2"/>
  <c r="M315" i="2" s="1"/>
  <c r="V315" i="2"/>
  <c r="O315" i="2"/>
  <c r="AC314" i="2"/>
  <c r="AB314" i="2"/>
  <c r="AA314" i="2"/>
  <c r="X314" i="2"/>
  <c r="W314" i="2"/>
  <c r="V314" i="2"/>
  <c r="O314" i="2"/>
  <c r="S313" i="2"/>
  <c r="R313" i="2"/>
  <c r="Q313" i="2"/>
  <c r="P313" i="2"/>
  <c r="S312" i="2"/>
  <c r="R312" i="2"/>
  <c r="Q312" i="2"/>
  <c r="P312" i="2"/>
  <c r="AC311" i="2"/>
  <c r="AB311" i="2"/>
  <c r="AA311" i="2"/>
  <c r="X311" i="2"/>
  <c r="W311" i="2"/>
  <c r="V311" i="2"/>
  <c r="O311" i="2"/>
  <c r="AC310" i="2"/>
  <c r="AB310" i="2"/>
  <c r="AA310" i="2"/>
  <c r="X310" i="2"/>
  <c r="W310" i="2"/>
  <c r="V310" i="2"/>
  <c r="O310" i="2"/>
  <c r="V309" i="2"/>
  <c r="U309" i="2"/>
  <c r="O309" i="2"/>
  <c r="AC308" i="2"/>
  <c r="AB308" i="2"/>
  <c r="AA308" i="2"/>
  <c r="X308" i="2"/>
  <c r="W308" i="2"/>
  <c r="V308" i="2"/>
  <c r="O308" i="2"/>
  <c r="S307" i="2"/>
  <c r="R307" i="2"/>
  <c r="Q307" i="2"/>
  <c r="P307" i="2"/>
  <c r="S306" i="2"/>
  <c r="R306" i="2"/>
  <c r="Q306" i="2"/>
  <c r="P306" i="2"/>
  <c r="AC305" i="2"/>
  <c r="AB305" i="2"/>
  <c r="AA305" i="2"/>
  <c r="X305" i="2"/>
  <c r="W305" i="2"/>
  <c r="V305" i="2"/>
  <c r="O305" i="2"/>
  <c r="AC304" i="2"/>
  <c r="AB304" i="2"/>
  <c r="AA304" i="2"/>
  <c r="X304" i="2"/>
  <c r="W304" i="2"/>
  <c r="V304" i="2"/>
  <c r="O304" i="2"/>
  <c r="AC303" i="2"/>
  <c r="AB303" i="2"/>
  <c r="AA303" i="2"/>
  <c r="Z303" i="2"/>
  <c r="X303" i="2"/>
  <c r="N303" i="2" s="1"/>
  <c r="W303" i="2"/>
  <c r="V303" i="2"/>
  <c r="U303" i="2"/>
  <c r="O303" i="2"/>
  <c r="Z302" i="2"/>
  <c r="Y302" i="2" s="1"/>
  <c r="X302" i="2"/>
  <c r="W302" i="2"/>
  <c r="M302" i="2" s="1"/>
  <c r="V302" i="2"/>
  <c r="L302" i="2" s="1"/>
  <c r="U302" i="2"/>
  <c r="O302" i="2"/>
  <c r="AC301" i="2"/>
  <c r="AB301" i="2"/>
  <c r="AA301" i="2"/>
  <c r="X301" i="2"/>
  <c r="W301" i="2"/>
  <c r="M301" i="2" s="1"/>
  <c r="V301" i="2"/>
  <c r="O301" i="2"/>
  <c r="AC300" i="2"/>
  <c r="AB300" i="2"/>
  <c r="AA300" i="2"/>
  <c r="X300" i="2"/>
  <c r="W300" i="2"/>
  <c r="M300" i="2" s="1"/>
  <c r="V300" i="2"/>
  <c r="O300" i="2"/>
  <c r="AC299" i="2"/>
  <c r="AB299" i="2"/>
  <c r="AA299" i="2"/>
  <c r="X299" i="2"/>
  <c r="W299" i="2"/>
  <c r="M299" i="2" s="1"/>
  <c r="V299" i="2"/>
  <c r="O299" i="2"/>
  <c r="AC298" i="2"/>
  <c r="AB298" i="2"/>
  <c r="AA298" i="2"/>
  <c r="X298" i="2"/>
  <c r="W298" i="2"/>
  <c r="V298" i="2"/>
  <c r="O298" i="2"/>
  <c r="AC297" i="2"/>
  <c r="O297" i="2"/>
  <c r="AC296" i="2"/>
  <c r="AB296" i="2"/>
  <c r="AA296" i="2"/>
  <c r="X296" i="2"/>
  <c r="W296" i="2"/>
  <c r="V296" i="2"/>
  <c r="O296" i="2"/>
  <c r="AC295" i="2"/>
  <c r="AB295" i="2"/>
  <c r="AA295" i="2"/>
  <c r="X295" i="2"/>
  <c r="W295" i="2"/>
  <c r="V295" i="2"/>
  <c r="U295" i="2"/>
  <c r="O295" i="2"/>
  <c r="AC294" i="2"/>
  <c r="AB294" i="2"/>
  <c r="AA294" i="2"/>
  <c r="X294" i="2"/>
  <c r="W294" i="2"/>
  <c r="V294" i="2"/>
  <c r="U294" i="2"/>
  <c r="O294" i="2"/>
  <c r="AC293" i="2"/>
  <c r="AB293" i="2"/>
  <c r="AA293" i="2"/>
  <c r="Z293" i="2"/>
  <c r="X293" i="2"/>
  <c r="N293" i="2" s="1"/>
  <c r="W293" i="2"/>
  <c r="M293" i="2" s="1"/>
  <c r="V293" i="2"/>
  <c r="U293" i="2"/>
  <c r="O293" i="2"/>
  <c r="AC292" i="2"/>
  <c r="AB292" i="2"/>
  <c r="AA292" i="2"/>
  <c r="Z292" i="2"/>
  <c r="X292" i="2"/>
  <c r="W292" i="2"/>
  <c r="V292" i="2"/>
  <c r="U292" i="2"/>
  <c r="O292" i="2"/>
  <c r="AC291" i="2"/>
  <c r="AB291" i="2"/>
  <c r="AA291" i="2"/>
  <c r="Z291" i="2"/>
  <c r="X291" i="2"/>
  <c r="W291" i="2"/>
  <c r="M291" i="2" s="1"/>
  <c r="V291" i="2"/>
  <c r="U291" i="2"/>
  <c r="O291" i="2"/>
  <c r="AC290" i="2"/>
  <c r="AB290" i="2"/>
  <c r="AA290" i="2"/>
  <c r="Z290" i="2"/>
  <c r="X290" i="2"/>
  <c r="W290" i="2"/>
  <c r="V290" i="2"/>
  <c r="U290" i="2"/>
  <c r="O290" i="2"/>
  <c r="AC289" i="2"/>
  <c r="AB289" i="2"/>
  <c r="AA289" i="2"/>
  <c r="Z289" i="2"/>
  <c r="X289" i="2"/>
  <c r="N289" i="2" s="1"/>
  <c r="W289" i="2"/>
  <c r="V289" i="2"/>
  <c r="O289" i="2"/>
  <c r="AC288" i="2"/>
  <c r="AB288" i="2"/>
  <c r="AA288" i="2"/>
  <c r="Z288" i="2"/>
  <c r="X288" i="2"/>
  <c r="W288" i="2"/>
  <c r="V288" i="2"/>
  <c r="O288" i="2"/>
  <c r="O287" i="2"/>
  <c r="AC286" i="2"/>
  <c r="AB286" i="2"/>
  <c r="AA286" i="2"/>
  <c r="X286" i="2"/>
  <c r="W286" i="2"/>
  <c r="V286" i="2"/>
  <c r="O286" i="2"/>
  <c r="O285" i="2"/>
  <c r="AC284" i="2"/>
  <c r="AB284" i="2"/>
  <c r="AA284" i="2"/>
  <c r="X284" i="2"/>
  <c r="W284" i="2"/>
  <c r="V284" i="2"/>
  <c r="O284" i="2"/>
  <c r="S283" i="2"/>
  <c r="R283" i="2"/>
  <c r="Q283" i="2"/>
  <c r="P283" i="2"/>
  <c r="P281" i="2" s="1"/>
  <c r="P263" i="2" s="1"/>
  <c r="S282" i="2"/>
  <c r="S280" i="2" s="1"/>
  <c r="R282" i="2"/>
  <c r="Q282" i="2"/>
  <c r="P282" i="2"/>
  <c r="S275" i="2"/>
  <c r="S274" i="2"/>
  <c r="R274" i="2"/>
  <c r="R271" i="2"/>
  <c r="P270" i="2"/>
  <c r="Q267" i="2"/>
  <c r="P267" i="2"/>
  <c r="S266" i="2"/>
  <c r="R266" i="2"/>
  <c r="Q266" i="2"/>
  <c r="AC257" i="2"/>
  <c r="AC256" i="2" s="1"/>
  <c r="AC255" i="2" s="1"/>
  <c r="AB257" i="2"/>
  <c r="AA257" i="2"/>
  <c r="AA256" i="2" s="1"/>
  <c r="AA255" i="2" s="1"/>
  <c r="W257" i="2"/>
  <c r="W256" i="2" s="1"/>
  <c r="W255" i="2" s="1"/>
  <c r="S257" i="2"/>
  <c r="R257" i="2"/>
  <c r="R256" i="2" s="1"/>
  <c r="R255" i="2" s="1"/>
  <c r="Y254" i="2"/>
  <c r="T254" i="2"/>
  <c r="R254" i="2"/>
  <c r="AC253" i="2"/>
  <c r="AB253" i="2"/>
  <c r="AA253" i="2"/>
  <c r="Z253" i="2"/>
  <c r="X253" i="2"/>
  <c r="W253" i="2"/>
  <c r="V253" i="2"/>
  <c r="U253" i="2"/>
  <c r="AC251" i="2"/>
  <c r="AB251" i="2"/>
  <c r="AB250" i="2" s="1"/>
  <c r="AA251" i="2"/>
  <c r="AA250" i="2" s="1"/>
  <c r="Z251" i="2"/>
  <c r="X251" i="2"/>
  <c r="X250" i="2" s="1"/>
  <c r="W251" i="2"/>
  <c r="W250" i="2" s="1"/>
  <c r="V251" i="2"/>
  <c r="V250" i="2" s="1"/>
  <c r="U251" i="2"/>
  <c r="Z250" i="2"/>
  <c r="AC249" i="2"/>
  <c r="AB249" i="2"/>
  <c r="AB248" i="2" s="1"/>
  <c r="AA249" i="2"/>
  <c r="AA248" i="2" s="1"/>
  <c r="X249" i="2"/>
  <c r="X248" i="2" s="1"/>
  <c r="W249" i="2"/>
  <c r="W248" i="2" s="1"/>
  <c r="V249" i="2"/>
  <c r="V248" i="2" s="1"/>
  <c r="U249" i="2"/>
  <c r="Z223" i="2"/>
  <c r="K223" i="2" s="1"/>
  <c r="T223" i="2"/>
  <c r="N223" i="2"/>
  <c r="M223" i="2"/>
  <c r="L223" i="2"/>
  <c r="Z222" i="2"/>
  <c r="Y222" i="2" s="1"/>
  <c r="T222" i="2"/>
  <c r="N222" i="2"/>
  <c r="M222" i="2"/>
  <c r="L222" i="2"/>
  <c r="AC221" i="2"/>
  <c r="AC220" i="2" s="1"/>
  <c r="AC219" i="2" s="1"/>
  <c r="AC218" i="2" s="1"/>
  <c r="AC217" i="2" s="1"/>
  <c r="AC216" i="2" s="1"/>
  <c r="AC215" i="2" s="1"/>
  <c r="AB221" i="2"/>
  <c r="AB220" i="2" s="1"/>
  <c r="AB219" i="2" s="1"/>
  <c r="AB218" i="2" s="1"/>
  <c r="AB217" i="2" s="1"/>
  <c r="AB216" i="2" s="1"/>
  <c r="AB215" i="2" s="1"/>
  <c r="AA221" i="2"/>
  <c r="AA220" i="2" s="1"/>
  <c r="AA219" i="2" s="1"/>
  <c r="AA218" i="2" s="1"/>
  <c r="AA217" i="2" s="1"/>
  <c r="AA216" i="2" s="1"/>
  <c r="AA215" i="2" s="1"/>
  <c r="X221" i="2"/>
  <c r="X220" i="2" s="1"/>
  <c r="X219" i="2" s="1"/>
  <c r="X218" i="2" s="1"/>
  <c r="X217" i="2" s="1"/>
  <c r="X216" i="2" s="1"/>
  <c r="X215" i="2" s="1"/>
  <c r="W221" i="2"/>
  <c r="W220" i="2" s="1"/>
  <c r="V221" i="2"/>
  <c r="U221" i="2"/>
  <c r="U220" i="2" s="1"/>
  <c r="U219" i="2" s="1"/>
  <c r="U218" i="2" s="1"/>
  <c r="U217" i="2" s="1"/>
  <c r="U216" i="2" s="1"/>
  <c r="U215" i="2" s="1"/>
  <c r="Y214" i="2"/>
  <c r="N214" i="2"/>
  <c r="M214" i="2"/>
  <c r="M213" i="2" s="1"/>
  <c r="L214" i="2"/>
  <c r="L213" i="2" s="1"/>
  <c r="K214" i="2"/>
  <c r="K213" i="2" s="1"/>
  <c r="AC213" i="2"/>
  <c r="AB213" i="2"/>
  <c r="AA213" i="2"/>
  <c r="Z213" i="2"/>
  <c r="AC212" i="2"/>
  <c r="AB212" i="2"/>
  <c r="M212" i="2" s="1"/>
  <c r="M211" i="2" s="1"/>
  <c r="AA212" i="2"/>
  <c r="L212" i="2" s="1"/>
  <c r="L211" i="2" s="1"/>
  <c r="Z212" i="2"/>
  <c r="Z211" i="2" s="1"/>
  <c r="Y209" i="2"/>
  <c r="N209" i="2"/>
  <c r="N208" i="2" s="1"/>
  <c r="N207" i="2" s="1"/>
  <c r="M209" i="2"/>
  <c r="M208" i="2" s="1"/>
  <c r="M207" i="2" s="1"/>
  <c r="L209" i="2"/>
  <c r="K209" i="2"/>
  <c r="K208" i="2" s="1"/>
  <c r="AC208" i="2"/>
  <c r="AC207" i="2" s="1"/>
  <c r="AB208" i="2"/>
  <c r="AB207" i="2" s="1"/>
  <c r="AA208" i="2"/>
  <c r="AA207" i="2" s="1"/>
  <c r="Z208" i="2"/>
  <c r="Z207" i="2" s="1"/>
  <c r="AB200" i="2"/>
  <c r="AB431" i="2" s="1"/>
  <c r="Z200" i="2"/>
  <c r="T200" i="2"/>
  <c r="O200" i="2"/>
  <c r="N200" i="2"/>
  <c r="L200" i="2"/>
  <c r="AC199" i="2"/>
  <c r="AC430" i="2" s="1"/>
  <c r="AB199" i="2"/>
  <c r="AB430" i="2" s="1"/>
  <c r="T199" i="2"/>
  <c r="O199" i="2"/>
  <c r="L199" i="2"/>
  <c r="K199" i="2"/>
  <c r="AA198" i="2"/>
  <c r="AA429" i="2" s="1"/>
  <c r="Z198" i="2"/>
  <c r="T198" i="2"/>
  <c r="O198" i="2"/>
  <c r="N198" i="2"/>
  <c r="M198" i="2"/>
  <c r="Z197" i="2"/>
  <c r="Z428" i="2" s="1"/>
  <c r="T197" i="2"/>
  <c r="O197" i="2"/>
  <c r="N197" i="2"/>
  <c r="M197" i="2"/>
  <c r="L197" i="2"/>
  <c r="Y196" i="2"/>
  <c r="T196" i="2"/>
  <c r="O196" i="2"/>
  <c r="N196" i="2"/>
  <c r="M196" i="2"/>
  <c r="L196" i="2"/>
  <c r="K196" i="2"/>
  <c r="Y195" i="2"/>
  <c r="T195" i="2"/>
  <c r="O195" i="2"/>
  <c r="N195" i="2"/>
  <c r="M195" i="2"/>
  <c r="L195" i="2"/>
  <c r="K195" i="2"/>
  <c r="AC194" i="2"/>
  <c r="AC425" i="2" s="1"/>
  <c r="AB194" i="2"/>
  <c r="AB425" i="2" s="1"/>
  <c r="AA194" i="2"/>
  <c r="AA425" i="2" s="1"/>
  <c r="Z194" i="2"/>
  <c r="Z425" i="2" s="1"/>
  <c r="W194" i="2"/>
  <c r="W425" i="2" s="1"/>
  <c r="U194" i="2"/>
  <c r="O194" i="2"/>
  <c r="AC193" i="2"/>
  <c r="AC424" i="2" s="1"/>
  <c r="AB193" i="2"/>
  <c r="AB424" i="2" s="1"/>
  <c r="Z193" i="2"/>
  <c r="Z424" i="2" s="1"/>
  <c r="U193" i="2"/>
  <c r="U424" i="2" s="1"/>
  <c r="O193" i="2"/>
  <c r="L193" i="2"/>
  <c r="AC192" i="2"/>
  <c r="AB192" i="2"/>
  <c r="AB423" i="2" s="1"/>
  <c r="AA192" i="2"/>
  <c r="AA423" i="2" s="1"/>
  <c r="AA421" i="2" s="1"/>
  <c r="Z192" i="2"/>
  <c r="Z423" i="2" s="1"/>
  <c r="T192" i="2"/>
  <c r="O192" i="2"/>
  <c r="AC191" i="2"/>
  <c r="AC422" i="2" s="1"/>
  <c r="AB191" i="2"/>
  <c r="Z191" i="2"/>
  <c r="Z422" i="2" s="1"/>
  <c r="T191" i="2"/>
  <c r="O191" i="2"/>
  <c r="L191" i="2"/>
  <c r="X190" i="2"/>
  <c r="X188" i="2" s="1"/>
  <c r="V190" i="2"/>
  <c r="V188" i="2" s="1"/>
  <c r="S190" i="2"/>
  <c r="S188" i="2" s="1"/>
  <c r="R190" i="2"/>
  <c r="R188" i="2" s="1"/>
  <c r="R186" i="2" s="1"/>
  <c r="R42" i="2" s="1"/>
  <c r="Q190" i="2"/>
  <c r="Q188" i="2" s="1"/>
  <c r="Q186" i="2" s="1"/>
  <c r="Q42" i="2" s="1"/>
  <c r="P190" i="2"/>
  <c r="P188" i="2" s="1"/>
  <c r="AA189" i="2"/>
  <c r="AA187" i="2" s="1"/>
  <c r="X189" i="2"/>
  <c r="X187" i="2" s="1"/>
  <c r="X185" i="2" s="1"/>
  <c r="X41" i="2" s="1"/>
  <c r="W189" i="2"/>
  <c r="V189" i="2"/>
  <c r="V187" i="2" s="1"/>
  <c r="V185" i="2" s="1"/>
  <c r="V41" i="2" s="1"/>
  <c r="S189" i="2"/>
  <c r="S187" i="2" s="1"/>
  <c r="S185" i="2" s="1"/>
  <c r="S41" i="2" s="1"/>
  <c r="R189" i="2"/>
  <c r="R187" i="2" s="1"/>
  <c r="Q189" i="2"/>
  <c r="Q187" i="2" s="1"/>
  <c r="P189" i="2"/>
  <c r="P187" i="2" s="1"/>
  <c r="P185" i="2" s="1"/>
  <c r="P41" i="2" s="1"/>
  <c r="W187" i="2"/>
  <c r="W185" i="2" s="1"/>
  <c r="W41" i="2" s="1"/>
  <c r="AA184" i="2"/>
  <c r="AA415" i="2" s="1"/>
  <c r="Z184" i="2"/>
  <c r="Z415" i="2" s="1"/>
  <c r="V184" i="2"/>
  <c r="V415" i="2" s="1"/>
  <c r="U184" i="2"/>
  <c r="U415" i="2" s="1"/>
  <c r="O184" i="2"/>
  <c r="N184" i="2"/>
  <c r="M184" i="2"/>
  <c r="Z183" i="2"/>
  <c r="U183" i="2"/>
  <c r="U414" i="2" s="1"/>
  <c r="O183" i="2"/>
  <c r="N183" i="2"/>
  <c r="M183" i="2"/>
  <c r="L183" i="2"/>
  <c r="AC182" i="2"/>
  <c r="AC413" i="2" s="1"/>
  <c r="AB182" i="2"/>
  <c r="AB413" i="2" s="1"/>
  <c r="AA182" i="2"/>
  <c r="AA413" i="2" s="1"/>
  <c r="Z182" i="2"/>
  <c r="Z413" i="2" s="1"/>
  <c r="T182" i="2"/>
  <c r="O182" i="2"/>
  <c r="Z181" i="2"/>
  <c r="Z412" i="2" s="1"/>
  <c r="T181" i="2"/>
  <c r="O181" i="2"/>
  <c r="N181" i="2"/>
  <c r="M181" i="2"/>
  <c r="L181" i="2"/>
  <c r="AB180" i="2"/>
  <c r="AB411" i="2" s="1"/>
  <c r="T180" i="2"/>
  <c r="O180" i="2"/>
  <c r="N180" i="2"/>
  <c r="L180" i="2"/>
  <c r="K180" i="2"/>
  <c r="AB179" i="2"/>
  <c r="T179" i="2"/>
  <c r="O179" i="2"/>
  <c r="N179" i="2"/>
  <c r="L179" i="2"/>
  <c r="K179" i="2"/>
  <c r="X178" i="2"/>
  <c r="X40" i="2" s="1"/>
  <c r="W178" i="2"/>
  <c r="V178" i="2"/>
  <c r="V40" i="2" s="1"/>
  <c r="S178" i="2"/>
  <c r="S40" i="2" s="1"/>
  <c r="R178" i="2"/>
  <c r="R40" i="2" s="1"/>
  <c r="Q178" i="2"/>
  <c r="Q40" i="2" s="1"/>
  <c r="P178" i="2"/>
  <c r="P40" i="2" s="1"/>
  <c r="AC177" i="2"/>
  <c r="AC39" i="2" s="1"/>
  <c r="AA177" i="2"/>
  <c r="AA39" i="2" s="1"/>
  <c r="X177" i="2"/>
  <c r="W177" i="2"/>
  <c r="W39" i="2" s="1"/>
  <c r="V177" i="2"/>
  <c r="V39" i="2" s="1"/>
  <c r="S177" i="2"/>
  <c r="S39" i="2" s="1"/>
  <c r="R177" i="2"/>
  <c r="R39" i="2" s="1"/>
  <c r="Q177" i="2"/>
  <c r="P177" i="2"/>
  <c r="T176" i="2"/>
  <c r="J176" i="2" s="1"/>
  <c r="N176" i="2"/>
  <c r="M176" i="2"/>
  <c r="L176" i="2"/>
  <c r="K176" i="2"/>
  <c r="T175" i="2"/>
  <c r="J175" i="2" s="1"/>
  <c r="N175" i="2"/>
  <c r="M175" i="2"/>
  <c r="L175" i="2"/>
  <c r="K175" i="2"/>
  <c r="Z174" i="2"/>
  <c r="Z405" i="2" s="1"/>
  <c r="T174" i="2"/>
  <c r="O174" i="2"/>
  <c r="N174" i="2"/>
  <c r="M174" i="2"/>
  <c r="L174" i="2"/>
  <c r="Z173" i="2"/>
  <c r="Z169" i="2" s="1"/>
  <c r="T173" i="2"/>
  <c r="O173" i="2"/>
  <c r="N173" i="2"/>
  <c r="M173" i="2"/>
  <c r="L173" i="2"/>
  <c r="T172" i="2"/>
  <c r="J172" i="2" s="1"/>
  <c r="N172" i="2"/>
  <c r="M172" i="2"/>
  <c r="L172" i="2"/>
  <c r="K172" i="2"/>
  <c r="T171" i="2"/>
  <c r="J171" i="2" s="1"/>
  <c r="N171" i="2"/>
  <c r="M171" i="2"/>
  <c r="L171" i="2"/>
  <c r="K171" i="2"/>
  <c r="AC170" i="2"/>
  <c r="AB170" i="2"/>
  <c r="AA170" i="2"/>
  <c r="X170" i="2"/>
  <c r="W170" i="2"/>
  <c r="V170" i="2"/>
  <c r="U170" i="2"/>
  <c r="S170" i="2"/>
  <c r="S26" i="2" s="1"/>
  <c r="R170" i="2"/>
  <c r="Q170" i="2"/>
  <c r="Q26" i="2" s="1"/>
  <c r="Q25" i="2" s="1"/>
  <c r="Q24" i="2" s="1"/>
  <c r="P170" i="2"/>
  <c r="P26" i="2" s="1"/>
  <c r="AC169" i="2"/>
  <c r="AB169" i="2"/>
  <c r="AA169" i="2"/>
  <c r="X169" i="2"/>
  <c r="W169" i="2"/>
  <c r="V169" i="2"/>
  <c r="U169" i="2"/>
  <c r="S169" i="2"/>
  <c r="R169" i="2"/>
  <c r="Q169" i="2"/>
  <c r="P169" i="2"/>
  <c r="Y168" i="2"/>
  <c r="T168" i="2"/>
  <c r="O168" i="2"/>
  <c r="N168" i="2"/>
  <c r="M168" i="2"/>
  <c r="L168" i="2"/>
  <c r="K168" i="2"/>
  <c r="Y167" i="2"/>
  <c r="T167" i="2"/>
  <c r="O167" i="2"/>
  <c r="N167" i="2"/>
  <c r="M167" i="2"/>
  <c r="L167" i="2"/>
  <c r="K167" i="2"/>
  <c r="Y166" i="2"/>
  <c r="T166" i="2"/>
  <c r="S166" i="2"/>
  <c r="S397" i="2" s="1"/>
  <c r="Q166" i="2"/>
  <c r="Q397" i="2" s="1"/>
  <c r="P166" i="2"/>
  <c r="P397" i="2" s="1"/>
  <c r="M166" i="2"/>
  <c r="Y165" i="2"/>
  <c r="T165" i="2"/>
  <c r="O165" i="2"/>
  <c r="N165" i="2"/>
  <c r="M165" i="2"/>
  <c r="L165" i="2"/>
  <c r="K165" i="2"/>
  <c r="Y164" i="2"/>
  <c r="T164" i="2"/>
  <c r="S164" i="2"/>
  <c r="R164" i="2"/>
  <c r="R395" i="2" s="1"/>
  <c r="Q164" i="2"/>
  <c r="Q395" i="2" s="1"/>
  <c r="P164" i="2"/>
  <c r="P395" i="2" s="1"/>
  <c r="Y163" i="2"/>
  <c r="T163" i="2"/>
  <c r="O163" i="2"/>
  <c r="N163" i="2"/>
  <c r="M163" i="2"/>
  <c r="L163" i="2"/>
  <c r="K163" i="2"/>
  <c r="AC162" i="2"/>
  <c r="AB162" i="2"/>
  <c r="AA162" i="2"/>
  <c r="Z162" i="2"/>
  <c r="X162" i="2"/>
  <c r="W162" i="2"/>
  <c r="V162" i="2"/>
  <c r="U162" i="2"/>
  <c r="R162" i="2"/>
  <c r="R160" i="2" s="1"/>
  <c r="P162" i="2"/>
  <c r="AC161" i="2"/>
  <c r="AB161" i="2"/>
  <c r="AA161" i="2"/>
  <c r="Z161" i="2"/>
  <c r="X161" i="2"/>
  <c r="W161" i="2"/>
  <c r="V161" i="2"/>
  <c r="V159" i="2" s="1"/>
  <c r="V37" i="2" s="1"/>
  <c r="U161" i="2"/>
  <c r="S161" i="2"/>
  <c r="R161" i="2"/>
  <c r="Q161" i="2"/>
  <c r="P161" i="2"/>
  <c r="Y158" i="2"/>
  <c r="X158" i="2"/>
  <c r="X389" i="2" s="1"/>
  <c r="W158" i="2"/>
  <c r="W389" i="2" s="1"/>
  <c r="V158" i="2"/>
  <c r="V389" i="2" s="1"/>
  <c r="U158" i="2"/>
  <c r="O158" i="2"/>
  <c r="Y157" i="2"/>
  <c r="U157" i="2"/>
  <c r="U388" i="2" s="1"/>
  <c r="O157" i="2"/>
  <c r="N157" i="2"/>
  <c r="M157" i="2"/>
  <c r="L157" i="2"/>
  <c r="Y156" i="2"/>
  <c r="T156" i="2"/>
  <c r="O156" i="2"/>
  <c r="N156" i="2"/>
  <c r="M156" i="2"/>
  <c r="L156" i="2"/>
  <c r="K156" i="2"/>
  <c r="Y155" i="2"/>
  <c r="T155" i="2"/>
  <c r="O155" i="2"/>
  <c r="N155" i="2"/>
  <c r="M155" i="2"/>
  <c r="L155" i="2"/>
  <c r="K155" i="2"/>
  <c r="AC154" i="2"/>
  <c r="AC36" i="2" s="1"/>
  <c r="AB154" i="2"/>
  <c r="AA154" i="2"/>
  <c r="AA36" i="2" s="1"/>
  <c r="Z154" i="2"/>
  <c r="Z36" i="2" s="1"/>
  <c r="V154" i="2"/>
  <c r="V36" i="2" s="1"/>
  <c r="S154" i="2"/>
  <c r="S36" i="2" s="1"/>
  <c r="R154" i="2"/>
  <c r="R36" i="2" s="1"/>
  <c r="Q154" i="2"/>
  <c r="P154" i="2"/>
  <c r="P36" i="2" s="1"/>
  <c r="AC153" i="2"/>
  <c r="AC35" i="2" s="1"/>
  <c r="AB153" i="2"/>
  <c r="AB35" i="2" s="1"/>
  <c r="AA153" i="2"/>
  <c r="AA35" i="2" s="1"/>
  <c r="Z153" i="2"/>
  <c r="Z35" i="2" s="1"/>
  <c r="X153" i="2"/>
  <c r="X35" i="2" s="1"/>
  <c r="W153" i="2"/>
  <c r="W35" i="2" s="1"/>
  <c r="V153" i="2"/>
  <c r="S153" i="2"/>
  <c r="S35" i="2" s="1"/>
  <c r="R153" i="2"/>
  <c r="R35" i="2" s="1"/>
  <c r="Q153" i="2"/>
  <c r="Q35" i="2" s="1"/>
  <c r="P153" i="2"/>
  <c r="P35" i="2" s="1"/>
  <c r="Z152" i="2"/>
  <c r="Z383" i="2" s="1"/>
  <c r="U152" i="2"/>
  <c r="U383" i="2" s="1"/>
  <c r="O152" i="2"/>
  <c r="N152" i="2"/>
  <c r="M152" i="2"/>
  <c r="L152" i="2"/>
  <c r="Z151" i="2"/>
  <c r="Z382" i="2" s="1"/>
  <c r="U151" i="2"/>
  <c r="U382" i="2" s="1"/>
  <c r="O151" i="2"/>
  <c r="N151" i="2"/>
  <c r="M151" i="2"/>
  <c r="L151" i="2"/>
  <c r="AB150" i="2"/>
  <c r="AB381" i="2" s="1"/>
  <c r="AA150" i="2"/>
  <c r="AA381" i="2" s="1"/>
  <c r="Z150" i="2"/>
  <c r="Z381" i="2" s="1"/>
  <c r="X150" i="2"/>
  <c r="W150" i="2"/>
  <c r="V150" i="2"/>
  <c r="V381" i="2" s="1"/>
  <c r="U150" i="2"/>
  <c r="O150" i="2"/>
  <c r="Z149" i="2"/>
  <c r="Z380" i="2" s="1"/>
  <c r="Y149" i="2"/>
  <c r="U149" i="2"/>
  <c r="O149" i="2"/>
  <c r="N149" i="2"/>
  <c r="M149" i="2"/>
  <c r="L149" i="2"/>
  <c r="Y148" i="2"/>
  <c r="T148" i="2"/>
  <c r="O148" i="2"/>
  <c r="N148" i="2"/>
  <c r="M148" i="2"/>
  <c r="L148" i="2"/>
  <c r="K148" i="2"/>
  <c r="Z147" i="2"/>
  <c r="Y147" i="2" s="1"/>
  <c r="T147" i="2"/>
  <c r="O147" i="2"/>
  <c r="N147" i="2"/>
  <c r="M147" i="2"/>
  <c r="L147" i="2"/>
  <c r="Y146" i="2"/>
  <c r="T146" i="2"/>
  <c r="O146" i="2"/>
  <c r="N146" i="2"/>
  <c r="M146" i="2"/>
  <c r="L146" i="2"/>
  <c r="K146" i="2"/>
  <c r="Y145" i="2"/>
  <c r="T145" i="2"/>
  <c r="O145" i="2"/>
  <c r="N145" i="2"/>
  <c r="M145" i="2"/>
  <c r="L145" i="2"/>
  <c r="K145" i="2"/>
  <c r="Z144" i="2"/>
  <c r="Z375" i="2" s="1"/>
  <c r="U144" i="2"/>
  <c r="O144" i="2"/>
  <c r="N144" i="2"/>
  <c r="M144" i="2"/>
  <c r="L144" i="2"/>
  <c r="Z143" i="2"/>
  <c r="Z374" i="2" s="1"/>
  <c r="U143" i="2"/>
  <c r="U374" i="2" s="1"/>
  <c r="O143" i="2"/>
  <c r="N143" i="2"/>
  <c r="M143" i="2"/>
  <c r="L143" i="2"/>
  <c r="AC142" i="2"/>
  <c r="AB142" i="2"/>
  <c r="W142" i="2"/>
  <c r="S142" i="2"/>
  <c r="R142" i="2"/>
  <c r="Q142" i="2"/>
  <c r="P142" i="2"/>
  <c r="AC141" i="2"/>
  <c r="AB141" i="2"/>
  <c r="AA141" i="2"/>
  <c r="X141" i="2"/>
  <c r="W141" i="2"/>
  <c r="V141" i="2"/>
  <c r="S141" i="2"/>
  <c r="R141" i="2"/>
  <c r="Q141" i="2"/>
  <c r="P141" i="2"/>
  <c r="Z140" i="2"/>
  <c r="U140" i="2"/>
  <c r="U371" i="2" s="1"/>
  <c r="O140" i="2"/>
  <c r="N140" i="2"/>
  <c r="M140" i="2"/>
  <c r="L140" i="2"/>
  <c r="Z139" i="2"/>
  <c r="U139" i="2"/>
  <c r="T139" i="2" s="1"/>
  <c r="O139" i="2"/>
  <c r="N139" i="2"/>
  <c r="M139" i="2"/>
  <c r="L139" i="2"/>
  <c r="AA138" i="2"/>
  <c r="AA369" i="2" s="1"/>
  <c r="Z138" i="2"/>
  <c r="Z369" i="2" s="1"/>
  <c r="T138" i="2"/>
  <c r="O138" i="2"/>
  <c r="N138" i="2"/>
  <c r="M138" i="2"/>
  <c r="Z137" i="2"/>
  <c r="Z368" i="2" s="1"/>
  <c r="T137" i="2"/>
  <c r="O137" i="2"/>
  <c r="N137" i="2"/>
  <c r="M137" i="2"/>
  <c r="L137" i="2"/>
  <c r="Y136" i="2"/>
  <c r="T136" i="2"/>
  <c r="O136" i="2"/>
  <c r="N136" i="2"/>
  <c r="M136" i="2"/>
  <c r="L136" i="2"/>
  <c r="K136" i="2"/>
  <c r="Y135" i="2"/>
  <c r="T135" i="2"/>
  <c r="O135" i="2"/>
  <c r="N135" i="2"/>
  <c r="M135" i="2"/>
  <c r="L135" i="2"/>
  <c r="K135" i="2"/>
  <c r="Z134" i="2"/>
  <c r="Z365" i="2" s="1"/>
  <c r="U134" i="2"/>
  <c r="O134" i="2"/>
  <c r="N134" i="2"/>
  <c r="M134" i="2"/>
  <c r="L134" i="2"/>
  <c r="Z133" i="2"/>
  <c r="Z364" i="2" s="1"/>
  <c r="U133" i="2"/>
  <c r="U364" i="2" s="1"/>
  <c r="O133" i="2"/>
  <c r="N133" i="2"/>
  <c r="M133" i="2"/>
  <c r="L133" i="2"/>
  <c r="Z132" i="2"/>
  <c r="Z363" i="2" s="1"/>
  <c r="T132" i="2"/>
  <c r="O132" i="2"/>
  <c r="N132" i="2"/>
  <c r="M132" i="2"/>
  <c r="L132" i="2"/>
  <c r="Z131" i="2"/>
  <c r="T131" i="2"/>
  <c r="O131" i="2"/>
  <c r="N131" i="2"/>
  <c r="M131" i="2"/>
  <c r="L131" i="2"/>
  <c r="Z130" i="2"/>
  <c r="Z361" i="2" s="1"/>
  <c r="U130" i="2"/>
  <c r="U361" i="2" s="1"/>
  <c r="O130" i="2"/>
  <c r="N130" i="2"/>
  <c r="M130" i="2"/>
  <c r="L130" i="2"/>
  <c r="Z129" i="2"/>
  <c r="U129" i="2"/>
  <c r="U360" i="2" s="1"/>
  <c r="O129" i="2"/>
  <c r="N129" i="2"/>
  <c r="M129" i="2"/>
  <c r="L129" i="2"/>
  <c r="Z128" i="2"/>
  <c r="Z359" i="2" s="1"/>
  <c r="U128" i="2"/>
  <c r="U359" i="2" s="1"/>
  <c r="O128" i="2"/>
  <c r="N128" i="2"/>
  <c r="N126" i="2" s="1"/>
  <c r="M128" i="2"/>
  <c r="L128" i="2"/>
  <c r="Z127" i="2"/>
  <c r="U127" i="2"/>
  <c r="U358" i="2" s="1"/>
  <c r="O127" i="2"/>
  <c r="N127" i="2"/>
  <c r="N125" i="2" s="1"/>
  <c r="M127" i="2"/>
  <c r="L127" i="2"/>
  <c r="L125" i="2" s="1"/>
  <c r="AC126" i="2"/>
  <c r="AC357" i="2" s="1"/>
  <c r="AB126" i="2"/>
  <c r="AA126" i="2"/>
  <c r="AA357" i="2" s="1"/>
  <c r="X126" i="2"/>
  <c r="X357" i="2" s="1"/>
  <c r="W126" i="2"/>
  <c r="W357" i="2" s="1"/>
  <c r="V126" i="2"/>
  <c r="V357" i="2" s="1"/>
  <c r="S126" i="2"/>
  <c r="R126" i="2"/>
  <c r="Q126" i="2"/>
  <c r="P126" i="2"/>
  <c r="AC125" i="2"/>
  <c r="AC356" i="2" s="1"/>
  <c r="AB125" i="2"/>
  <c r="AB356" i="2" s="1"/>
  <c r="AA125" i="2"/>
  <c r="AA356" i="2" s="1"/>
  <c r="X125" i="2"/>
  <c r="X356" i="2" s="1"/>
  <c r="W125" i="2"/>
  <c r="W356" i="2" s="1"/>
  <c r="V125" i="2"/>
  <c r="V356" i="2" s="1"/>
  <c r="S125" i="2"/>
  <c r="R125" i="2"/>
  <c r="Q125" i="2"/>
  <c r="P125" i="2"/>
  <c r="AC124" i="2"/>
  <c r="AC355" i="2" s="1"/>
  <c r="AB124" i="2"/>
  <c r="AB355" i="2" s="1"/>
  <c r="AA124" i="2"/>
  <c r="X124" i="2"/>
  <c r="X355" i="2" s="1"/>
  <c r="W124" i="2"/>
  <c r="W355" i="2" s="1"/>
  <c r="V124" i="2"/>
  <c r="O124" i="2"/>
  <c r="K124" i="2"/>
  <c r="Z123" i="2"/>
  <c r="Z354" i="2" s="1"/>
  <c r="U123" i="2"/>
  <c r="O123" i="2"/>
  <c r="N123" i="2"/>
  <c r="M123" i="2"/>
  <c r="M121" i="2" s="1"/>
  <c r="L123" i="2"/>
  <c r="L121" i="2" s="1"/>
  <c r="Z122" i="2"/>
  <c r="U122" i="2"/>
  <c r="U353" i="2" s="1"/>
  <c r="S122" i="2"/>
  <c r="R122" i="2"/>
  <c r="Q122" i="2"/>
  <c r="P122" i="2"/>
  <c r="AC121" i="2"/>
  <c r="AC352" i="2" s="1"/>
  <c r="AB121" i="2"/>
  <c r="AB352" i="2" s="1"/>
  <c r="AA121" i="2"/>
  <c r="X121" i="2"/>
  <c r="X352" i="2" s="1"/>
  <c r="W121" i="2"/>
  <c r="W352" i="2" s="1"/>
  <c r="V121" i="2"/>
  <c r="V352" i="2" s="1"/>
  <c r="S121" i="2"/>
  <c r="R121" i="2"/>
  <c r="Q121" i="2"/>
  <c r="P121" i="2"/>
  <c r="Z120" i="2"/>
  <c r="Z351" i="2" s="1"/>
  <c r="T120" i="2"/>
  <c r="O120" i="2"/>
  <c r="N120" i="2"/>
  <c r="M120" i="2"/>
  <c r="L120" i="2"/>
  <c r="Z119" i="2"/>
  <c r="Y119" i="2" s="1"/>
  <c r="T119" i="2"/>
  <c r="O119" i="2"/>
  <c r="N119" i="2"/>
  <c r="M119" i="2"/>
  <c r="L119" i="2"/>
  <c r="Y118" i="2"/>
  <c r="X118" i="2"/>
  <c r="X349" i="2" s="1"/>
  <c r="N349" i="2" s="1"/>
  <c r="W118" i="2"/>
  <c r="W349" i="2" s="1"/>
  <c r="V118" i="2"/>
  <c r="V349" i="2" s="1"/>
  <c r="U118" i="2"/>
  <c r="U349" i="2" s="1"/>
  <c r="O118" i="2"/>
  <c r="Y117" i="2"/>
  <c r="U117" i="2"/>
  <c r="T117" i="2" s="1"/>
  <c r="O117" i="2"/>
  <c r="N117" i="2"/>
  <c r="M117" i="2"/>
  <c r="L117" i="2"/>
  <c r="AC116" i="2"/>
  <c r="AC347" i="2" s="1"/>
  <c r="AB116" i="2"/>
  <c r="AB347" i="2" s="1"/>
  <c r="AA116" i="2"/>
  <c r="AA347" i="2" s="1"/>
  <c r="Z116" i="2"/>
  <c r="Z347" i="2" s="1"/>
  <c r="X116" i="2"/>
  <c r="X347" i="2" s="1"/>
  <c r="W116" i="2"/>
  <c r="V116" i="2"/>
  <c r="V347" i="2" s="1"/>
  <c r="U116" i="2"/>
  <c r="U347" i="2" s="1"/>
  <c r="O116" i="2"/>
  <c r="Z115" i="2"/>
  <c r="Z346" i="2" s="1"/>
  <c r="X115" i="2"/>
  <c r="X346" i="2" s="1"/>
  <c r="W115" i="2"/>
  <c r="W346" i="2" s="1"/>
  <c r="U115" i="2"/>
  <c r="U346" i="2" s="1"/>
  <c r="O115" i="2"/>
  <c r="L115" i="2"/>
  <c r="AC114" i="2"/>
  <c r="AC345" i="2" s="1"/>
  <c r="AB114" i="2"/>
  <c r="AB345" i="2" s="1"/>
  <c r="X114" i="2"/>
  <c r="W114" i="2"/>
  <c r="W345" i="2" s="1"/>
  <c r="O114" i="2"/>
  <c r="L114" i="2"/>
  <c r="K114" i="2"/>
  <c r="AB113" i="2"/>
  <c r="AB344" i="2" s="1"/>
  <c r="U113" i="2"/>
  <c r="U344" i="2" s="1"/>
  <c r="O113" i="2"/>
  <c r="N113" i="2"/>
  <c r="L113" i="2"/>
  <c r="Z112" i="2"/>
  <c r="Z343" i="2" s="1"/>
  <c r="U112" i="2"/>
  <c r="U343" i="2" s="1"/>
  <c r="O112" i="2"/>
  <c r="N112" i="2"/>
  <c r="M112" i="2"/>
  <c r="L112" i="2"/>
  <c r="Z111" i="2"/>
  <c r="Z342" i="2" s="1"/>
  <c r="U111" i="2"/>
  <c r="U342" i="2" s="1"/>
  <c r="O111" i="2"/>
  <c r="N111" i="2"/>
  <c r="M111" i="2"/>
  <c r="L111" i="2"/>
  <c r="Y110" i="2"/>
  <c r="X110" i="2"/>
  <c r="W110" i="2"/>
  <c r="W341" i="2" s="1"/>
  <c r="V110" i="2"/>
  <c r="V341" i="2" s="1"/>
  <c r="U110" i="2"/>
  <c r="U341" i="2" s="1"/>
  <c r="O110" i="2"/>
  <c r="Y109" i="2"/>
  <c r="U109" i="2"/>
  <c r="U340" i="2" s="1"/>
  <c r="O109" i="2"/>
  <c r="N109" i="2"/>
  <c r="M109" i="2"/>
  <c r="L109" i="2"/>
  <c r="AC108" i="2"/>
  <c r="AB108" i="2"/>
  <c r="AB339" i="2" s="1"/>
  <c r="AA108" i="2"/>
  <c r="AA339" i="2" s="1"/>
  <c r="Z108" i="2"/>
  <c r="Z339" i="2" s="1"/>
  <c r="W108" i="2"/>
  <c r="W339" i="2" s="1"/>
  <c r="V108" i="2"/>
  <c r="V339" i="2" s="1"/>
  <c r="U108" i="2"/>
  <c r="U339" i="2" s="1"/>
  <c r="O108" i="2"/>
  <c r="Z107" i="2"/>
  <c r="Z338" i="2" s="1"/>
  <c r="U107" i="2"/>
  <c r="U338" i="2" s="1"/>
  <c r="O107" i="2"/>
  <c r="N107" i="2"/>
  <c r="M107" i="2"/>
  <c r="L107" i="2"/>
  <c r="AC106" i="2"/>
  <c r="AC337" i="2" s="1"/>
  <c r="AB106" i="2"/>
  <c r="AB337" i="2" s="1"/>
  <c r="AA106" i="2"/>
  <c r="AA337" i="2" s="1"/>
  <c r="T106" i="2"/>
  <c r="O106" i="2"/>
  <c r="K106" i="2"/>
  <c r="AB105" i="2"/>
  <c r="AB336" i="2" s="1"/>
  <c r="Z105" i="2"/>
  <c r="Z336" i="2" s="1"/>
  <c r="T105" i="2"/>
  <c r="O105" i="2"/>
  <c r="N105" i="2"/>
  <c r="L105" i="2"/>
  <c r="AC104" i="2"/>
  <c r="AC335" i="2" s="1"/>
  <c r="AB104" i="2"/>
  <c r="AB335" i="2" s="1"/>
  <c r="AA104" i="2"/>
  <c r="Z104" i="2"/>
  <c r="Z335" i="2" s="1"/>
  <c r="T104" i="2"/>
  <c r="O104" i="2"/>
  <c r="Z103" i="2"/>
  <c r="Z334" i="2" s="1"/>
  <c r="T103" i="2"/>
  <c r="O103" i="2"/>
  <c r="N103" i="2"/>
  <c r="M103" i="2"/>
  <c r="L103" i="2"/>
  <c r="AA102" i="2"/>
  <c r="AA333" i="2" s="1"/>
  <c r="Z102" i="2"/>
  <c r="T102" i="2"/>
  <c r="O102" i="2"/>
  <c r="N102" i="2"/>
  <c r="M102" i="2"/>
  <c r="Z101" i="2"/>
  <c r="Z332" i="2" s="1"/>
  <c r="T101" i="2"/>
  <c r="O101" i="2"/>
  <c r="N101" i="2"/>
  <c r="M101" i="2"/>
  <c r="L101" i="2"/>
  <c r="Y100" i="2"/>
  <c r="X100" i="2"/>
  <c r="X331" i="2" s="1"/>
  <c r="W100" i="2"/>
  <c r="V100" i="2"/>
  <c r="V331" i="2" s="1"/>
  <c r="O100" i="2"/>
  <c r="K100" i="2"/>
  <c r="Y99" i="2"/>
  <c r="U99" i="2"/>
  <c r="U330" i="2" s="1"/>
  <c r="O99" i="2"/>
  <c r="N99" i="2"/>
  <c r="M99" i="2"/>
  <c r="L99" i="2"/>
  <c r="S98" i="2"/>
  <c r="R98" i="2"/>
  <c r="Q98" i="2"/>
  <c r="P98" i="2"/>
  <c r="P96" i="2" s="1"/>
  <c r="P34" i="2" s="1"/>
  <c r="AC97" i="2"/>
  <c r="AA97" i="2"/>
  <c r="W97" i="2"/>
  <c r="V97" i="2"/>
  <c r="S97" i="2"/>
  <c r="R97" i="2"/>
  <c r="Q97" i="2"/>
  <c r="P97" i="2"/>
  <c r="AC94" i="2"/>
  <c r="AC325" i="2" s="1"/>
  <c r="AB94" i="2"/>
  <c r="AB325" i="2" s="1"/>
  <c r="AB313" i="2" s="1"/>
  <c r="AA94" i="2"/>
  <c r="AA325" i="2" s="1"/>
  <c r="Z94" i="2"/>
  <c r="Z325" i="2" s="1"/>
  <c r="X94" i="2"/>
  <c r="X325" i="2" s="1"/>
  <c r="W94" i="2"/>
  <c r="V94" i="2"/>
  <c r="V325" i="2" s="1"/>
  <c r="U94" i="2"/>
  <c r="U325" i="2" s="1"/>
  <c r="O94" i="2"/>
  <c r="Z93" i="2"/>
  <c r="Z324" i="2" s="1"/>
  <c r="U93" i="2"/>
  <c r="U324" i="2" s="1"/>
  <c r="O93" i="2"/>
  <c r="N93" i="2"/>
  <c r="M93" i="2"/>
  <c r="L93" i="2"/>
  <c r="Y92" i="2"/>
  <c r="U92" i="2"/>
  <c r="U323" i="2" s="1"/>
  <c r="O92" i="2"/>
  <c r="N92" i="2"/>
  <c r="M92" i="2"/>
  <c r="L92" i="2"/>
  <c r="Y91" i="2"/>
  <c r="U91" i="2"/>
  <c r="U322" i="2" s="1"/>
  <c r="O91" i="2"/>
  <c r="N91" i="2"/>
  <c r="M91" i="2"/>
  <c r="L91" i="2"/>
  <c r="Z90" i="2"/>
  <c r="Z321" i="2" s="1"/>
  <c r="U90" i="2"/>
  <c r="O90" i="2"/>
  <c r="N90" i="2"/>
  <c r="M90" i="2"/>
  <c r="L90" i="2"/>
  <c r="Z89" i="2"/>
  <c r="Z320" i="2" s="1"/>
  <c r="U89" i="2"/>
  <c r="U320" i="2" s="1"/>
  <c r="O89" i="2"/>
  <c r="N89" i="2"/>
  <c r="M89" i="2"/>
  <c r="L89" i="2"/>
  <c r="Y88" i="2"/>
  <c r="U88" i="2"/>
  <c r="U319" i="2" s="1"/>
  <c r="O88" i="2"/>
  <c r="N88" i="2"/>
  <c r="M88" i="2"/>
  <c r="L88" i="2"/>
  <c r="Y87" i="2"/>
  <c r="U87" i="2"/>
  <c r="U318" i="2" s="1"/>
  <c r="O87" i="2"/>
  <c r="N87" i="2"/>
  <c r="M87" i="2"/>
  <c r="L87" i="2"/>
  <c r="Z86" i="2"/>
  <c r="Z317" i="2" s="1"/>
  <c r="U86" i="2"/>
  <c r="U317" i="2" s="1"/>
  <c r="O86" i="2"/>
  <c r="N86" i="2"/>
  <c r="M86" i="2"/>
  <c r="L86" i="2"/>
  <c r="Z85" i="2"/>
  <c r="U85" i="2"/>
  <c r="U316" i="2" s="1"/>
  <c r="O85" i="2"/>
  <c r="N85" i="2"/>
  <c r="M85" i="2"/>
  <c r="L85" i="2"/>
  <c r="Z84" i="2"/>
  <c r="Z315" i="2" s="1"/>
  <c r="U84" i="2"/>
  <c r="U315" i="2" s="1"/>
  <c r="O84" i="2"/>
  <c r="N84" i="2"/>
  <c r="M84" i="2"/>
  <c r="L84" i="2"/>
  <c r="Z83" i="2"/>
  <c r="U83" i="2"/>
  <c r="U314" i="2" s="1"/>
  <c r="O83" i="2"/>
  <c r="N83" i="2"/>
  <c r="M83" i="2"/>
  <c r="L83" i="2"/>
  <c r="AB82" i="2"/>
  <c r="AA82" i="2"/>
  <c r="S82" i="2"/>
  <c r="R82" i="2"/>
  <c r="Q82" i="2"/>
  <c r="P82" i="2"/>
  <c r="AC81" i="2"/>
  <c r="AB81" i="2"/>
  <c r="AA81" i="2"/>
  <c r="X81" i="2"/>
  <c r="W81" i="2"/>
  <c r="V81" i="2"/>
  <c r="S81" i="2"/>
  <c r="R81" i="2"/>
  <c r="Q81" i="2"/>
  <c r="P81" i="2"/>
  <c r="Z80" i="2"/>
  <c r="Z311" i="2" s="1"/>
  <c r="U80" i="2"/>
  <c r="O80" i="2"/>
  <c r="N80" i="2"/>
  <c r="M80" i="2"/>
  <c r="L80" i="2"/>
  <c r="Z79" i="2"/>
  <c r="Z310" i="2" s="1"/>
  <c r="U79" i="2"/>
  <c r="U310" i="2" s="1"/>
  <c r="O79" i="2"/>
  <c r="N79" i="2"/>
  <c r="M79" i="2"/>
  <c r="L79" i="2"/>
  <c r="AC78" i="2"/>
  <c r="AC309" i="2" s="1"/>
  <c r="AB78" i="2"/>
  <c r="AB309" i="2" s="1"/>
  <c r="AA78" i="2"/>
  <c r="Z78" i="2"/>
  <c r="Z309" i="2" s="1"/>
  <c r="X78" i="2"/>
  <c r="X76" i="2" s="1"/>
  <c r="W78" i="2"/>
  <c r="W309" i="2" s="1"/>
  <c r="O78" i="2"/>
  <c r="Z77" i="2"/>
  <c r="U77" i="2"/>
  <c r="O77" i="2"/>
  <c r="N77" i="2"/>
  <c r="M77" i="2"/>
  <c r="L77" i="2"/>
  <c r="AB76" i="2"/>
  <c r="V76" i="2"/>
  <c r="S76" i="2"/>
  <c r="R76" i="2"/>
  <c r="Q76" i="2"/>
  <c r="P76" i="2"/>
  <c r="AC75" i="2"/>
  <c r="AB75" i="2"/>
  <c r="AA75" i="2"/>
  <c r="X75" i="2"/>
  <c r="W75" i="2"/>
  <c r="V75" i="2"/>
  <c r="S75" i="2"/>
  <c r="R75" i="2"/>
  <c r="Q75" i="2"/>
  <c r="P75" i="2"/>
  <c r="Z74" i="2"/>
  <c r="Z305" i="2" s="1"/>
  <c r="U74" i="2"/>
  <c r="O74" i="2"/>
  <c r="N74" i="2"/>
  <c r="M74" i="2"/>
  <c r="L74" i="2"/>
  <c r="Z73" i="2"/>
  <c r="U73" i="2"/>
  <c r="U304" i="2" s="1"/>
  <c r="O73" i="2"/>
  <c r="N73" i="2"/>
  <c r="M73" i="2"/>
  <c r="L73" i="2"/>
  <c r="Y72" i="2"/>
  <c r="T72" i="2"/>
  <c r="O72" i="2"/>
  <c r="N72" i="2"/>
  <c r="M72" i="2"/>
  <c r="L72" i="2"/>
  <c r="K72" i="2"/>
  <c r="Y71" i="2"/>
  <c r="T71" i="2"/>
  <c r="O71" i="2"/>
  <c r="N71" i="2"/>
  <c r="M71" i="2"/>
  <c r="L71" i="2"/>
  <c r="K71" i="2"/>
  <c r="Z70" i="2"/>
  <c r="U70" i="2"/>
  <c r="U301" i="2" s="1"/>
  <c r="O70" i="2"/>
  <c r="N70" i="2"/>
  <c r="M70" i="2"/>
  <c r="L70" i="2"/>
  <c r="Z69" i="2"/>
  <c r="U69" i="2"/>
  <c r="O69" i="2"/>
  <c r="N69" i="2"/>
  <c r="M69" i="2"/>
  <c r="L69" i="2"/>
  <c r="Z68" i="2"/>
  <c r="Z299" i="2" s="1"/>
  <c r="U68" i="2"/>
  <c r="U299" i="2" s="1"/>
  <c r="O68" i="2"/>
  <c r="N68" i="2"/>
  <c r="M68" i="2"/>
  <c r="L68" i="2"/>
  <c r="Z67" i="2"/>
  <c r="U67" i="2"/>
  <c r="U298" i="2" s="1"/>
  <c r="O67" i="2"/>
  <c r="N67" i="2"/>
  <c r="M67" i="2"/>
  <c r="L67" i="2"/>
  <c r="AB66" i="2"/>
  <c r="AB297" i="2" s="1"/>
  <c r="AA66" i="2"/>
  <c r="AA297" i="2" s="1"/>
  <c r="Z66" i="2"/>
  <c r="Z297" i="2" s="1"/>
  <c r="X66" i="2"/>
  <c r="X297" i="2" s="1"/>
  <c r="W66" i="2"/>
  <c r="W297" i="2" s="1"/>
  <c r="V66" i="2"/>
  <c r="U66" i="2"/>
  <c r="U297" i="2" s="1"/>
  <c r="O66" i="2"/>
  <c r="Z65" i="2"/>
  <c r="Z296" i="2" s="1"/>
  <c r="U65" i="2"/>
  <c r="U296" i="2" s="1"/>
  <c r="O65" i="2"/>
  <c r="N65" i="2"/>
  <c r="M65" i="2"/>
  <c r="L65" i="2"/>
  <c r="Z64" i="2"/>
  <c r="Z295" i="2" s="1"/>
  <c r="T64" i="2"/>
  <c r="O64" i="2"/>
  <c r="N64" i="2"/>
  <c r="M64" i="2"/>
  <c r="L64" i="2"/>
  <c r="Z63" i="2"/>
  <c r="Z294" i="2" s="1"/>
  <c r="T63" i="2"/>
  <c r="O63" i="2"/>
  <c r="N63" i="2"/>
  <c r="M63" i="2"/>
  <c r="L63" i="2"/>
  <c r="Y62" i="2"/>
  <c r="T62" i="2"/>
  <c r="O62" i="2"/>
  <c r="N62" i="2"/>
  <c r="M62" i="2"/>
  <c r="L62" i="2"/>
  <c r="K62" i="2"/>
  <c r="Y61" i="2"/>
  <c r="T61" i="2"/>
  <c r="O61" i="2"/>
  <c r="N61" i="2"/>
  <c r="M61" i="2"/>
  <c r="L61" i="2"/>
  <c r="K61" i="2"/>
  <c r="Y60" i="2"/>
  <c r="T60" i="2"/>
  <c r="O60" i="2"/>
  <c r="N60" i="2"/>
  <c r="M60" i="2"/>
  <c r="L60" i="2"/>
  <c r="K60" i="2"/>
  <c r="Y59" i="2"/>
  <c r="T59" i="2"/>
  <c r="O59" i="2"/>
  <c r="N59" i="2"/>
  <c r="M59" i="2"/>
  <c r="L59" i="2"/>
  <c r="K59" i="2"/>
  <c r="Y58" i="2"/>
  <c r="U58" i="2"/>
  <c r="U289" i="2" s="1"/>
  <c r="O58" i="2"/>
  <c r="N58" i="2"/>
  <c r="M58" i="2"/>
  <c r="L58" i="2"/>
  <c r="Y57" i="2"/>
  <c r="U57" i="2"/>
  <c r="U288" i="2" s="1"/>
  <c r="O57" i="2"/>
  <c r="N57" i="2"/>
  <c r="M57" i="2"/>
  <c r="L57" i="2"/>
  <c r="AC56" i="2"/>
  <c r="AC287" i="2" s="1"/>
  <c r="AB56" i="2"/>
  <c r="AB287" i="2" s="1"/>
  <c r="AA56" i="2"/>
  <c r="AA287" i="2" s="1"/>
  <c r="Z56" i="2"/>
  <c r="Z287" i="2" s="1"/>
  <c r="X56" i="2"/>
  <c r="X287" i="2" s="1"/>
  <c r="W56" i="2"/>
  <c r="W287" i="2" s="1"/>
  <c r="V56" i="2"/>
  <c r="V287" i="2" s="1"/>
  <c r="U56" i="2"/>
  <c r="U287" i="2" s="1"/>
  <c r="O56" i="2"/>
  <c r="Z55" i="2"/>
  <c r="Z286" i="2" s="1"/>
  <c r="U55" i="2"/>
  <c r="U286" i="2" s="1"/>
  <c r="O55" i="2"/>
  <c r="N55" i="2"/>
  <c r="M55" i="2"/>
  <c r="L55" i="2"/>
  <c r="AC54" i="2"/>
  <c r="AC285" i="2" s="1"/>
  <c r="AB54" i="2"/>
  <c r="AB285" i="2" s="1"/>
  <c r="AA54" i="2"/>
  <c r="AA285" i="2" s="1"/>
  <c r="Z54" i="2"/>
  <c r="Z285" i="2" s="1"/>
  <c r="X54" i="2"/>
  <c r="X285" i="2" s="1"/>
  <c r="W54" i="2"/>
  <c r="W285" i="2" s="1"/>
  <c r="V54" i="2"/>
  <c r="V285" i="2" s="1"/>
  <c r="U54" i="2"/>
  <c r="U285" i="2" s="1"/>
  <c r="O54" i="2"/>
  <c r="Z53" i="2"/>
  <c r="Z284" i="2" s="1"/>
  <c r="U53" i="2"/>
  <c r="U284" i="2" s="1"/>
  <c r="O53" i="2"/>
  <c r="N53" i="2"/>
  <c r="M53" i="2"/>
  <c r="L53" i="2"/>
  <c r="S52" i="2"/>
  <c r="S50" i="2" s="1"/>
  <c r="R52" i="2"/>
  <c r="Q52" i="2"/>
  <c r="P52" i="2"/>
  <c r="AC51" i="2"/>
  <c r="AB51" i="2"/>
  <c r="AB49" i="2" s="1"/>
  <c r="AA51" i="2"/>
  <c r="X51" i="2"/>
  <c r="W51" i="2"/>
  <c r="V51" i="2"/>
  <c r="S51" i="2"/>
  <c r="R51" i="2"/>
  <c r="Q51" i="2"/>
  <c r="P51" i="2"/>
  <c r="AA43" i="2"/>
  <c r="W40" i="2"/>
  <c r="X39" i="2"/>
  <c r="Q39" i="2"/>
  <c r="P39" i="2"/>
  <c r="R38" i="2"/>
  <c r="AB36" i="2"/>
  <c r="Q36" i="2"/>
  <c r="V35" i="2"/>
  <c r="Z26" i="2"/>
  <c r="Z257" i="2" s="1"/>
  <c r="X26" i="2"/>
  <c r="W26" i="2"/>
  <c r="W25" i="2" s="1"/>
  <c r="W24" i="2" s="1"/>
  <c r="V26" i="2"/>
  <c r="V25" i="2" s="1"/>
  <c r="V24" i="2" s="1"/>
  <c r="U26" i="2"/>
  <c r="R26" i="2"/>
  <c r="R25" i="2" s="1"/>
  <c r="R24" i="2" s="1"/>
  <c r="AC25" i="2"/>
  <c r="AC24" i="2" s="1"/>
  <c r="AB25" i="2"/>
  <c r="AB24" i="2" s="1"/>
  <c r="AA25" i="2"/>
  <c r="AA24" i="2" s="1"/>
  <c r="Y23" i="2"/>
  <c r="T23" i="2"/>
  <c r="S23" i="2"/>
  <c r="S254" i="2" s="1"/>
  <c r="Q23" i="2"/>
  <c r="P23" i="2"/>
  <c r="P254" i="2" s="1"/>
  <c r="M23" i="2"/>
  <c r="M22" i="2" s="1"/>
  <c r="AC22" i="2"/>
  <c r="AB22" i="2"/>
  <c r="AA22" i="2"/>
  <c r="Z22" i="2"/>
  <c r="X22" i="2"/>
  <c r="W22" i="2"/>
  <c r="V22" i="2"/>
  <c r="U22" i="2"/>
  <c r="R22" i="2"/>
  <c r="Y20" i="2"/>
  <c r="T20" i="2"/>
  <c r="N20" i="2"/>
  <c r="N19" i="2" s="1"/>
  <c r="M20" i="2"/>
  <c r="L20" i="2"/>
  <c r="L19" i="2" s="1"/>
  <c r="K20" i="2"/>
  <c r="K19" i="2" s="1"/>
  <c r="AC19" i="2"/>
  <c r="AB19" i="2"/>
  <c r="AA19" i="2"/>
  <c r="Z19" i="2"/>
  <c r="X19" i="2"/>
  <c r="W19" i="2"/>
  <c r="V19" i="2"/>
  <c r="U19" i="2"/>
  <c r="Z18" i="2"/>
  <c r="Z249" i="2" s="1"/>
  <c r="T18" i="2"/>
  <c r="N18" i="2"/>
  <c r="M18" i="2"/>
  <c r="M17" i="2" s="1"/>
  <c r="L18" i="2"/>
  <c r="L17" i="2" s="1"/>
  <c r="AC17" i="2"/>
  <c r="AB17" i="2"/>
  <c r="AA17" i="2"/>
  <c r="Z17" i="2"/>
  <c r="X17" i="2"/>
  <c r="W17" i="2"/>
  <c r="V17" i="2"/>
  <c r="U17" i="2"/>
  <c r="H117" i="3" l="1"/>
  <c r="H35" i="3" s="1"/>
  <c r="W122" i="2"/>
  <c r="W353" i="2" s="1"/>
  <c r="AA373" i="2"/>
  <c r="N350" i="2"/>
  <c r="L394" i="2"/>
  <c r="AA392" i="2"/>
  <c r="I85" i="3"/>
  <c r="I83" i="3" s="1"/>
  <c r="U159" i="2"/>
  <c r="U37" i="2" s="1"/>
  <c r="P160" i="2"/>
  <c r="P38" i="2" s="1"/>
  <c r="AB160" i="2"/>
  <c r="AB38" i="2" s="1"/>
  <c r="J168" i="2"/>
  <c r="L334" i="2"/>
  <c r="K379" i="2"/>
  <c r="AB393" i="2"/>
  <c r="D538" i="3"/>
  <c r="H605" i="3"/>
  <c r="H603" i="3" s="1"/>
  <c r="H591" i="3" s="1"/>
  <c r="C578" i="3"/>
  <c r="K18" i="2"/>
  <c r="K17" i="2" s="1"/>
  <c r="K222" i="2"/>
  <c r="M314" i="2"/>
  <c r="K366" i="2"/>
  <c r="L386" i="2"/>
  <c r="J539" i="3"/>
  <c r="D591" i="3"/>
  <c r="AC307" i="2"/>
  <c r="Y154" i="2"/>
  <c r="M305" i="2"/>
  <c r="L370" i="2"/>
  <c r="M371" i="2"/>
  <c r="L382" i="2"/>
  <c r="M383" i="2"/>
  <c r="L403" i="2"/>
  <c r="N426" i="2"/>
  <c r="L427" i="2"/>
  <c r="E524" i="3"/>
  <c r="E522" i="3" s="1"/>
  <c r="H576" i="3"/>
  <c r="H574" i="3" s="1"/>
  <c r="E591" i="3"/>
  <c r="H604" i="3"/>
  <c r="H602" i="3" s="1"/>
  <c r="K77" i="2"/>
  <c r="M431" i="2"/>
  <c r="L412" i="2"/>
  <c r="D523" i="3"/>
  <c r="D521" i="3" s="1"/>
  <c r="D539" i="3"/>
  <c r="H549" i="3"/>
  <c r="H547" i="3" s="1"/>
  <c r="T111" i="2"/>
  <c r="O154" i="2"/>
  <c r="D116" i="3"/>
  <c r="D34" i="3" s="1"/>
  <c r="E523" i="3"/>
  <c r="E521" i="3" s="1"/>
  <c r="C557" i="3"/>
  <c r="H563" i="3"/>
  <c r="I575" i="3"/>
  <c r="I573" i="3" s="1"/>
  <c r="I513" i="3"/>
  <c r="Q185" i="2"/>
  <c r="Q41" i="2" s="1"/>
  <c r="Q43" i="2"/>
  <c r="R417" i="2"/>
  <c r="R273" i="2" s="1"/>
  <c r="R275" i="2"/>
  <c r="I72" i="3"/>
  <c r="K69" i="2"/>
  <c r="T88" i="2"/>
  <c r="X97" i="2"/>
  <c r="L170" i="2"/>
  <c r="M180" i="2"/>
  <c r="Y223" i="2"/>
  <c r="I115" i="3"/>
  <c r="I33" i="3" s="1"/>
  <c r="C143" i="3"/>
  <c r="C144" i="3"/>
  <c r="G109" i="3"/>
  <c r="G107" i="3" s="1"/>
  <c r="C532" i="3"/>
  <c r="J564" i="3"/>
  <c r="D109" i="3"/>
  <c r="D107" i="3" s="1"/>
  <c r="D513" i="3"/>
  <c r="V52" i="2"/>
  <c r="M78" i="2"/>
  <c r="K111" i="2"/>
  <c r="Y364" i="2"/>
  <c r="M153" i="2"/>
  <c r="M35" i="2" s="1"/>
  <c r="N424" i="2"/>
  <c r="I39" i="3"/>
  <c r="J85" i="3"/>
  <c r="J83" i="3" s="1"/>
  <c r="H548" i="3"/>
  <c r="H546" i="3" s="1"/>
  <c r="H538" i="3" s="1"/>
  <c r="F647" i="3"/>
  <c r="F641" i="3" s="1"/>
  <c r="I604" i="3"/>
  <c r="I602" i="3" s="1"/>
  <c r="J605" i="3"/>
  <c r="J603" i="3" s="1"/>
  <c r="J591" i="3" s="1"/>
  <c r="K116" i="2"/>
  <c r="P159" i="2"/>
  <c r="P37" i="2" s="1"/>
  <c r="Q280" i="2"/>
  <c r="Q262" i="2" s="1"/>
  <c r="N321" i="2"/>
  <c r="X400" i="2"/>
  <c r="D134" i="3"/>
  <c r="D132" i="3" s="1"/>
  <c r="D120" i="3" s="1"/>
  <c r="I514" i="3"/>
  <c r="I539" i="3"/>
  <c r="G564" i="3"/>
  <c r="J604" i="3"/>
  <c r="J602" i="3" s="1"/>
  <c r="Y151" i="2"/>
  <c r="AA159" i="2"/>
  <c r="AA37" i="2" s="1"/>
  <c r="K26" i="2"/>
  <c r="Y180" i="2"/>
  <c r="J180" i="2" s="1"/>
  <c r="L343" i="2"/>
  <c r="D108" i="3"/>
  <c r="D106" i="3" s="1"/>
  <c r="G155" i="3"/>
  <c r="G189" i="3"/>
  <c r="G187" i="3" s="1"/>
  <c r="J514" i="3"/>
  <c r="G563" i="3"/>
  <c r="H109" i="3"/>
  <c r="H107" i="3" s="1"/>
  <c r="H27" i="3" s="1"/>
  <c r="H25" i="3" s="1"/>
  <c r="D576" i="3"/>
  <c r="D574" i="3" s="1"/>
  <c r="D564" i="3" s="1"/>
  <c r="M344" i="2"/>
  <c r="X122" i="2"/>
  <c r="X353" i="2" s="1"/>
  <c r="Y382" i="2"/>
  <c r="M193" i="2"/>
  <c r="M288" i="2"/>
  <c r="M289" i="2"/>
  <c r="L322" i="2"/>
  <c r="L340" i="2"/>
  <c r="R392" i="2"/>
  <c r="R390" i="2" s="1"/>
  <c r="R268" i="2" s="1"/>
  <c r="D39" i="3"/>
  <c r="F53" i="3"/>
  <c r="F51" i="3" s="1"/>
  <c r="C87" i="3"/>
  <c r="F86" i="3"/>
  <c r="F84" i="3" s="1"/>
  <c r="F72" i="3" s="1"/>
  <c r="D115" i="3"/>
  <c r="H134" i="3"/>
  <c r="H132" i="3" s="1"/>
  <c r="H120" i="3" s="1"/>
  <c r="H524" i="3"/>
  <c r="H522" i="3" s="1"/>
  <c r="H514" i="3" s="1"/>
  <c r="G549" i="3"/>
  <c r="G547" i="3" s="1"/>
  <c r="G539" i="3" s="1"/>
  <c r="C584" i="3"/>
  <c r="C576" i="3" s="1"/>
  <c r="C574" i="3" s="1"/>
  <c r="AC16" i="2"/>
  <c r="AC15" i="2" s="1"/>
  <c r="AC14" i="2" s="1"/>
  <c r="S22" i="2"/>
  <c r="T70" i="2"/>
  <c r="T108" i="2"/>
  <c r="T112" i="2"/>
  <c r="N199" i="2"/>
  <c r="L301" i="2"/>
  <c r="Y348" i="2"/>
  <c r="L364" i="2"/>
  <c r="M370" i="2"/>
  <c r="N371" i="2"/>
  <c r="N380" i="2"/>
  <c r="M382" i="2"/>
  <c r="N383" i="2"/>
  <c r="X384" i="2"/>
  <c r="X266" i="2" s="1"/>
  <c r="D38" i="3"/>
  <c r="I117" i="3"/>
  <c r="F526" i="3"/>
  <c r="F524" i="3" s="1"/>
  <c r="F522" i="3" s="1"/>
  <c r="H523" i="3"/>
  <c r="H521" i="3" s="1"/>
  <c r="H513" i="3" s="1"/>
  <c r="H539" i="3"/>
  <c r="E604" i="3"/>
  <c r="E602" i="3" s="1"/>
  <c r="E590" i="3" s="1"/>
  <c r="M389" i="2"/>
  <c r="K191" i="2"/>
  <c r="AB306" i="2"/>
  <c r="K345" i="2"/>
  <c r="S327" i="2"/>
  <c r="S265" i="2" s="1"/>
  <c r="J189" i="3"/>
  <c r="J187" i="3" s="1"/>
  <c r="J153" i="3" s="1"/>
  <c r="G115" i="3"/>
  <c r="E575" i="3"/>
  <c r="E573" i="3" s="1"/>
  <c r="E563" i="3" s="1"/>
  <c r="F116" i="3"/>
  <c r="G605" i="3"/>
  <c r="G603" i="3" s="1"/>
  <c r="G591" i="3" s="1"/>
  <c r="D188" i="3"/>
  <c r="D186" i="3" s="1"/>
  <c r="D189" i="3"/>
  <c r="D187" i="3" s="1"/>
  <c r="D153" i="3" s="1"/>
  <c r="I189" i="3"/>
  <c r="I187" i="3" s="1"/>
  <c r="I153" i="3" s="1"/>
  <c r="I188" i="3"/>
  <c r="I186" i="3" s="1"/>
  <c r="I152" i="3" s="1"/>
  <c r="I116" i="3"/>
  <c r="I34" i="3" s="1"/>
  <c r="F27" i="3"/>
  <c r="F25" i="3" s="1"/>
  <c r="X186" i="2"/>
  <c r="X42" i="2" s="1"/>
  <c r="X44" i="2"/>
  <c r="J86" i="3"/>
  <c r="J84" i="3" s="1"/>
  <c r="J72" i="3" s="1"/>
  <c r="J33" i="3"/>
  <c r="I108" i="3"/>
  <c r="I106" i="3" s="1"/>
  <c r="I26" i="3" s="1"/>
  <c r="I24" i="3" s="1"/>
  <c r="I121" i="3"/>
  <c r="E108" i="3"/>
  <c r="E106" i="3" s="1"/>
  <c r="E154" i="3"/>
  <c r="J154" i="3"/>
  <c r="J108" i="3"/>
  <c r="J106" i="3" s="1"/>
  <c r="C646" i="3"/>
  <c r="C640" i="3" s="1"/>
  <c r="F525" i="3"/>
  <c r="D575" i="3"/>
  <c r="D573" i="3" s="1"/>
  <c r="D563" i="3" s="1"/>
  <c r="F646" i="3"/>
  <c r="F640" i="3" s="1"/>
  <c r="R44" i="2"/>
  <c r="M341" i="2"/>
  <c r="X257" i="2"/>
  <c r="X256" i="2" s="1"/>
  <c r="X255" i="2" s="1"/>
  <c r="X252" i="2" s="1"/>
  <c r="N284" i="2"/>
  <c r="N296" i="2"/>
  <c r="M298" i="2"/>
  <c r="M308" i="2"/>
  <c r="M306" i="2" s="1"/>
  <c r="L311" i="2"/>
  <c r="M316" i="2"/>
  <c r="AA312" i="2"/>
  <c r="M323" i="2"/>
  <c r="L338" i="2"/>
  <c r="L344" i="2"/>
  <c r="M359" i="2"/>
  <c r="T406" i="2"/>
  <c r="N414" i="2"/>
  <c r="F577" i="3"/>
  <c r="F575" i="3" s="1"/>
  <c r="F573" i="3" s="1"/>
  <c r="C579" i="3"/>
  <c r="D590" i="3"/>
  <c r="AB16" i="2"/>
  <c r="AB15" i="2" s="1"/>
  <c r="AB14" i="2" s="1"/>
  <c r="U16" i="2"/>
  <c r="AA16" i="2"/>
  <c r="AA15" i="2" s="1"/>
  <c r="AA14" i="2" s="1"/>
  <c r="N23" i="2"/>
  <c r="N22" i="2" s="1"/>
  <c r="AA21" i="2"/>
  <c r="X43" i="2"/>
  <c r="Y286" i="2"/>
  <c r="K58" i="2"/>
  <c r="Y63" i="2"/>
  <c r="J63" i="2" s="1"/>
  <c r="K65" i="2"/>
  <c r="U75" i="2"/>
  <c r="AB307" i="2"/>
  <c r="V82" i="2"/>
  <c r="V50" i="2" s="1"/>
  <c r="V32" i="2" s="1"/>
  <c r="Z81" i="2"/>
  <c r="Y81" i="2" s="1"/>
  <c r="K91" i="2"/>
  <c r="M337" i="2"/>
  <c r="R95" i="2"/>
  <c r="R33" i="2" s="1"/>
  <c r="V142" i="2"/>
  <c r="T143" i="2"/>
  <c r="Y144" i="2"/>
  <c r="T151" i="2"/>
  <c r="J151" i="2" s="1"/>
  <c r="T152" i="2"/>
  <c r="L153" i="2"/>
  <c r="L35" i="2" s="1"/>
  <c r="X159" i="2"/>
  <c r="X37" i="2" s="1"/>
  <c r="AC159" i="2"/>
  <c r="AC37" i="2" s="1"/>
  <c r="J163" i="2"/>
  <c r="M164" i="2"/>
  <c r="S162" i="2"/>
  <c r="S160" i="2" s="1"/>
  <c r="S38" i="2" s="1"/>
  <c r="M413" i="2"/>
  <c r="W190" i="2"/>
  <c r="W188" i="2" s="1"/>
  <c r="N191" i="2"/>
  <c r="M199" i="2"/>
  <c r="Y199" i="2"/>
  <c r="J199" i="2" s="1"/>
  <c r="M200" i="2"/>
  <c r="M257" i="2"/>
  <c r="L286" i="2"/>
  <c r="L296" i="2"/>
  <c r="L304" i="2"/>
  <c r="L305" i="2"/>
  <c r="M310" i="2"/>
  <c r="N311" i="2"/>
  <c r="O312" i="2"/>
  <c r="N338" i="2"/>
  <c r="L348" i="2"/>
  <c r="S326" i="2"/>
  <c r="S264" i="2" s="1"/>
  <c r="M364" i="2"/>
  <c r="M367" i="2"/>
  <c r="AA384" i="2"/>
  <c r="AA266" i="2" s="1"/>
  <c r="C42" i="3"/>
  <c r="C40" i="3" s="1"/>
  <c r="E40" i="3"/>
  <c r="F39" i="3"/>
  <c r="J41" i="3"/>
  <c r="J39" i="3" s="1"/>
  <c r="J52" i="3"/>
  <c r="J50" i="3" s="1"/>
  <c r="J38" i="3" s="1"/>
  <c r="D74" i="3"/>
  <c r="D27" i="3"/>
  <c r="D25" i="3" s="1"/>
  <c r="J109" i="3"/>
  <c r="J107" i="3" s="1"/>
  <c r="J27" i="3" s="1"/>
  <c r="J25" i="3" s="1"/>
  <c r="D133" i="3"/>
  <c r="D131" i="3" s="1"/>
  <c r="D119" i="3" s="1"/>
  <c r="D114" i="3"/>
  <c r="H114" i="3"/>
  <c r="H32" i="3" s="1"/>
  <c r="H30" i="3" s="1"/>
  <c r="H28" i="3" s="1"/>
  <c r="H133" i="3"/>
  <c r="H131" i="3" s="1"/>
  <c r="H119" i="3" s="1"/>
  <c r="G116" i="3"/>
  <c r="G34" i="3" s="1"/>
  <c r="G133" i="3"/>
  <c r="G131" i="3" s="1"/>
  <c r="G119" i="3" s="1"/>
  <c r="G134" i="3"/>
  <c r="G132" i="3" s="1"/>
  <c r="G117" i="3"/>
  <c r="G113" i="3" s="1"/>
  <c r="G111" i="3" s="1"/>
  <c r="G105" i="3" s="1"/>
  <c r="D152" i="3"/>
  <c r="J152" i="3"/>
  <c r="G513" i="3"/>
  <c r="H566" i="3"/>
  <c r="H564" i="3" s="1"/>
  <c r="F563" i="3"/>
  <c r="J563" i="3"/>
  <c r="Y182" i="2"/>
  <c r="L118" i="2"/>
  <c r="Q162" i="2"/>
  <c r="Z178" i="2"/>
  <c r="Z40" i="2" s="1"/>
  <c r="R280" i="2"/>
  <c r="O280" i="2" s="1"/>
  <c r="L314" i="2"/>
  <c r="L315" i="2"/>
  <c r="N317" i="2"/>
  <c r="N342" i="2"/>
  <c r="L354" i="2"/>
  <c r="L352" i="2" s="1"/>
  <c r="N361" i="2"/>
  <c r="N412" i="2"/>
  <c r="X409" i="2"/>
  <c r="X271" i="2" s="1"/>
  <c r="F52" i="3"/>
  <c r="F50" i="3" s="1"/>
  <c r="F38" i="3" s="1"/>
  <c r="F34" i="3"/>
  <c r="G86" i="3"/>
  <c r="G84" i="3" s="1"/>
  <c r="G72" i="3" s="1"/>
  <c r="F122" i="3"/>
  <c r="D646" i="3"/>
  <c r="F190" i="3"/>
  <c r="C260" i="3"/>
  <c r="C190" i="3" s="1"/>
  <c r="H592" i="3"/>
  <c r="H590" i="3" s="1"/>
  <c r="H108" i="3"/>
  <c r="H106" i="3" s="1"/>
  <c r="H26" i="3" s="1"/>
  <c r="H24" i="3" s="1"/>
  <c r="L102" i="2"/>
  <c r="Y338" i="2"/>
  <c r="K120" i="2"/>
  <c r="L158" i="2"/>
  <c r="K164" i="2"/>
  <c r="N166" i="2"/>
  <c r="L194" i="2"/>
  <c r="Y194" i="2"/>
  <c r="N295" i="2"/>
  <c r="N298" i="2"/>
  <c r="N299" i="2"/>
  <c r="N300" i="2"/>
  <c r="O306" i="2"/>
  <c r="X306" i="2"/>
  <c r="W312" i="2"/>
  <c r="M321" i="2"/>
  <c r="R327" i="2"/>
  <c r="R265" i="2" s="1"/>
  <c r="N332" i="2"/>
  <c r="M338" i="2"/>
  <c r="M354" i="2"/>
  <c r="M352" i="2" s="1"/>
  <c r="D26" i="3"/>
  <c r="D24" i="3" s="1"/>
  <c r="C43" i="3"/>
  <c r="C41" i="3" s="1"/>
  <c r="E41" i="3"/>
  <c r="E39" i="3" s="1"/>
  <c r="J73" i="3"/>
  <c r="J26" i="3"/>
  <c r="J24" i="3" s="1"/>
  <c r="F85" i="3"/>
  <c r="F83" i="3" s="1"/>
  <c r="F71" i="3" s="1"/>
  <c r="E114" i="3"/>
  <c r="E32" i="3" s="1"/>
  <c r="C261" i="3"/>
  <c r="C191" i="3" s="1"/>
  <c r="F191" i="3"/>
  <c r="F514" i="3"/>
  <c r="G524" i="3"/>
  <c r="G522" i="3" s="1"/>
  <c r="G514" i="3" s="1"/>
  <c r="D524" i="3"/>
  <c r="D522" i="3" s="1"/>
  <c r="D514" i="3" s="1"/>
  <c r="C534" i="3"/>
  <c r="L365" i="2"/>
  <c r="O385" i="2"/>
  <c r="Z393" i="2"/>
  <c r="N404" i="2"/>
  <c r="AB401" i="2"/>
  <c r="AB391" i="2" s="1"/>
  <c r="AB269" i="2" s="1"/>
  <c r="G33" i="3"/>
  <c r="C64" i="3"/>
  <c r="C75" i="3"/>
  <c r="C73" i="3" s="1"/>
  <c r="E72" i="3"/>
  <c r="C88" i="3"/>
  <c r="C95" i="3"/>
  <c r="C85" i="3" s="1"/>
  <c r="C83" i="3" s="1"/>
  <c r="H85" i="3"/>
  <c r="H83" i="3" s="1"/>
  <c r="H71" i="3" s="1"/>
  <c r="D113" i="3"/>
  <c r="D111" i="3" s="1"/>
  <c r="D105" i="3" s="1"/>
  <c r="I109" i="3"/>
  <c r="I107" i="3" s="1"/>
  <c r="I122" i="3"/>
  <c r="C517" i="3"/>
  <c r="C515" i="3" s="1"/>
  <c r="J523" i="3"/>
  <c r="J521" i="3" s="1"/>
  <c r="J513" i="3" s="1"/>
  <c r="J114" i="3"/>
  <c r="J32" i="3" s="1"/>
  <c r="C583" i="3"/>
  <c r="J590" i="3"/>
  <c r="C594" i="3"/>
  <c r="C592" i="3" s="1"/>
  <c r="M362" i="2"/>
  <c r="L371" i="2"/>
  <c r="O372" i="2"/>
  <c r="M378" i="2"/>
  <c r="L379" i="2"/>
  <c r="O384" i="2"/>
  <c r="X392" i="2"/>
  <c r="S392" i="2"/>
  <c r="L404" i="2"/>
  <c r="L405" i="2"/>
  <c r="L431" i="2"/>
  <c r="D35" i="3"/>
  <c r="C65" i="3"/>
  <c r="G85" i="3"/>
  <c r="G83" i="3" s="1"/>
  <c r="G71" i="3" s="1"/>
  <c r="H86" i="3"/>
  <c r="H84" i="3" s="1"/>
  <c r="H72" i="3" s="1"/>
  <c r="I35" i="3"/>
  <c r="I114" i="3"/>
  <c r="I32" i="3" s="1"/>
  <c r="H116" i="3"/>
  <c r="H34" i="3" s="1"/>
  <c r="F117" i="3"/>
  <c r="F35" i="3" s="1"/>
  <c r="C518" i="3"/>
  <c r="C516" i="3" s="1"/>
  <c r="E516" i="3"/>
  <c r="E514" i="3" s="1"/>
  <c r="F538" i="3"/>
  <c r="C542" i="3"/>
  <c r="C540" i="3" s="1"/>
  <c r="F539" i="3"/>
  <c r="G114" i="3"/>
  <c r="G112" i="3" s="1"/>
  <c r="G110" i="3" s="1"/>
  <c r="E564" i="3"/>
  <c r="I605" i="3"/>
  <c r="I603" i="3" s="1"/>
  <c r="I591" i="3" s="1"/>
  <c r="G647" i="3"/>
  <c r="G641" i="3" s="1"/>
  <c r="F607" i="3"/>
  <c r="F605" i="3" s="1"/>
  <c r="F603" i="3" s="1"/>
  <c r="F591" i="3" s="1"/>
  <c r="F606" i="3"/>
  <c r="F604" i="3" s="1"/>
  <c r="F602" i="3" s="1"/>
  <c r="F590" i="3" s="1"/>
  <c r="C590" i="3" s="1"/>
  <c r="G108" i="3"/>
  <c r="G106" i="3" s="1"/>
  <c r="H115" i="3"/>
  <c r="H113" i="3" s="1"/>
  <c r="H111" i="3" s="1"/>
  <c r="F133" i="3"/>
  <c r="F131" i="3" s="1"/>
  <c r="F119" i="3" s="1"/>
  <c r="J116" i="3"/>
  <c r="F134" i="3"/>
  <c r="F132" i="3" s="1"/>
  <c r="F120" i="3" s="1"/>
  <c r="J117" i="3"/>
  <c r="E109" i="3"/>
  <c r="E107" i="3" s="1"/>
  <c r="E27" i="3" s="1"/>
  <c r="C422" i="3"/>
  <c r="C543" i="3"/>
  <c r="C541" i="3" s="1"/>
  <c r="C567" i="3"/>
  <c r="C565" i="3" s="1"/>
  <c r="I563" i="3"/>
  <c r="C595" i="3"/>
  <c r="C593" i="3" s="1"/>
  <c r="G120" i="3"/>
  <c r="C157" i="3"/>
  <c r="C155" i="3" s="1"/>
  <c r="G188" i="3"/>
  <c r="G186" i="3" s="1"/>
  <c r="G152" i="3" s="1"/>
  <c r="C551" i="3"/>
  <c r="C549" i="3" s="1"/>
  <c r="C547" i="3" s="1"/>
  <c r="E548" i="3"/>
  <c r="E546" i="3" s="1"/>
  <c r="E538" i="3" s="1"/>
  <c r="E549" i="3"/>
  <c r="E547" i="3" s="1"/>
  <c r="E539" i="3" s="1"/>
  <c r="C568" i="3"/>
  <c r="C566" i="3" s="1"/>
  <c r="I564" i="3"/>
  <c r="I590" i="3"/>
  <c r="G604" i="3"/>
  <c r="G602" i="3" s="1"/>
  <c r="G590" i="3" s="1"/>
  <c r="G26" i="3"/>
  <c r="G24" i="3" s="1"/>
  <c r="G104" i="3"/>
  <c r="G27" i="3"/>
  <c r="G25" i="3" s="1"/>
  <c r="I73" i="3"/>
  <c r="I27" i="3"/>
  <c r="I25" i="3" s="1"/>
  <c r="I134" i="3"/>
  <c r="I132" i="3" s="1"/>
  <c r="D642" i="3"/>
  <c r="E52" i="3"/>
  <c r="E50" i="3" s="1"/>
  <c r="E38" i="3" s="1"/>
  <c r="G32" i="3"/>
  <c r="C96" i="3"/>
  <c r="C124" i="3"/>
  <c r="C122" i="3" s="1"/>
  <c r="C135" i="3"/>
  <c r="C133" i="3" s="1"/>
  <c r="C131" i="3" s="1"/>
  <c r="C136" i="3"/>
  <c r="E116" i="3"/>
  <c r="E133" i="3"/>
  <c r="E131" i="3" s="1"/>
  <c r="E119" i="3" s="1"/>
  <c r="E117" i="3"/>
  <c r="E134" i="3"/>
  <c r="E132" i="3" s="1"/>
  <c r="E120" i="3" s="1"/>
  <c r="C423" i="3"/>
  <c r="G53" i="3"/>
  <c r="G51" i="3" s="1"/>
  <c r="G39" i="3" s="1"/>
  <c r="C76" i="3"/>
  <c r="C74" i="3" s="1"/>
  <c r="C123" i="3"/>
  <c r="C121" i="3" s="1"/>
  <c r="G52" i="3"/>
  <c r="G50" i="3" s="1"/>
  <c r="G38" i="3" s="1"/>
  <c r="E85" i="3"/>
  <c r="E83" i="3" s="1"/>
  <c r="E71" i="3" s="1"/>
  <c r="I133" i="3"/>
  <c r="I131" i="3" s="1"/>
  <c r="C641" i="3"/>
  <c r="G548" i="3"/>
  <c r="G546" i="3" s="1"/>
  <c r="G538" i="3" s="1"/>
  <c r="E26" i="3"/>
  <c r="C55" i="3"/>
  <c r="E155" i="3"/>
  <c r="E153" i="3" s="1"/>
  <c r="E515" i="3"/>
  <c r="I540" i="3"/>
  <c r="I538" i="3" s="1"/>
  <c r="C550" i="3"/>
  <c r="C548" i="3" s="1"/>
  <c r="C546" i="3" s="1"/>
  <c r="C54" i="3"/>
  <c r="C52" i="3" s="1"/>
  <c r="C50" i="3" s="1"/>
  <c r="H33" i="3"/>
  <c r="H31" i="3" s="1"/>
  <c r="H29" i="3" s="1"/>
  <c r="J34" i="3"/>
  <c r="J35" i="3"/>
  <c r="J113" i="3"/>
  <c r="J111" i="3" s="1"/>
  <c r="J105" i="3" s="1"/>
  <c r="D33" i="3"/>
  <c r="D85" i="3"/>
  <c r="D83" i="3" s="1"/>
  <c r="D71" i="3" s="1"/>
  <c r="D86" i="3"/>
  <c r="D84" i="3" s="1"/>
  <c r="J133" i="3"/>
  <c r="J131" i="3" s="1"/>
  <c r="J119" i="3" s="1"/>
  <c r="J134" i="3"/>
  <c r="J132" i="3" s="1"/>
  <c r="J120" i="3" s="1"/>
  <c r="F156" i="3"/>
  <c r="G646" i="3"/>
  <c r="G640" i="3" s="1"/>
  <c r="E188" i="3"/>
  <c r="E186" i="3" s="1"/>
  <c r="C531" i="3"/>
  <c r="C628" i="3"/>
  <c r="C629" i="3"/>
  <c r="D647" i="3"/>
  <c r="E115" i="3"/>
  <c r="C158" i="3"/>
  <c r="C156" i="3" s="1"/>
  <c r="C154" i="3" s="1"/>
  <c r="V186" i="2"/>
  <c r="V42" i="2" s="1"/>
  <c r="V44" i="2"/>
  <c r="S186" i="2"/>
  <c r="S42" i="2" s="1"/>
  <c r="O42" i="2" s="1"/>
  <c r="S44" i="2"/>
  <c r="Y294" i="2"/>
  <c r="N81" i="2"/>
  <c r="AA313" i="2"/>
  <c r="V95" i="2"/>
  <c r="V33" i="2" s="1"/>
  <c r="M125" i="2"/>
  <c r="N291" i="2"/>
  <c r="K337" i="2"/>
  <c r="P392" i="2"/>
  <c r="P390" i="2" s="1"/>
  <c r="P268" i="2" s="1"/>
  <c r="M397" i="2"/>
  <c r="M427" i="2"/>
  <c r="V16" i="2"/>
  <c r="V15" i="2" s="1"/>
  <c r="V14" i="2" s="1"/>
  <c r="Y324" i="2"/>
  <c r="Y354" i="2"/>
  <c r="S159" i="2"/>
  <c r="S37" i="2" s="1"/>
  <c r="AB256" i="2"/>
  <c r="AB255" i="2" s="1"/>
  <c r="M255" i="2" s="1"/>
  <c r="L294" i="2"/>
  <c r="M296" i="2"/>
  <c r="L299" i="2"/>
  <c r="L300" i="2"/>
  <c r="K303" i="2"/>
  <c r="L330" i="2"/>
  <c r="V392" i="2"/>
  <c r="L16" i="2"/>
  <c r="L15" i="2" s="1"/>
  <c r="L14" i="2" s="1"/>
  <c r="P43" i="2"/>
  <c r="X49" i="2"/>
  <c r="N297" i="2"/>
  <c r="M75" i="2"/>
  <c r="X95" i="2"/>
  <c r="X33" i="2" s="1"/>
  <c r="Y336" i="2"/>
  <c r="M349" i="2"/>
  <c r="K161" i="2"/>
  <c r="T169" i="2"/>
  <c r="N315" i="2"/>
  <c r="N318" i="2"/>
  <c r="Y340" i="2"/>
  <c r="L345" i="2"/>
  <c r="M358" i="2"/>
  <c r="M356" i="2" s="1"/>
  <c r="N359" i="2"/>
  <c r="M363" i="2"/>
  <c r="N364" i="2"/>
  <c r="M428" i="2"/>
  <c r="AA49" i="2"/>
  <c r="AA31" i="2" s="1"/>
  <c r="O76" i="2"/>
  <c r="L75" i="2"/>
  <c r="Q95" i="2"/>
  <c r="Q33" i="2" s="1"/>
  <c r="N430" i="2"/>
  <c r="K290" i="2"/>
  <c r="N358" i="2"/>
  <c r="N363" i="2"/>
  <c r="L376" i="2"/>
  <c r="K377" i="2"/>
  <c r="K387" i="2"/>
  <c r="Z384" i="2"/>
  <c r="Z266" i="2" s="1"/>
  <c r="K410" i="2"/>
  <c r="V43" i="2"/>
  <c r="L189" i="2"/>
  <c r="L187" i="2" s="1"/>
  <c r="L43" i="2" s="1"/>
  <c r="M284" i="2"/>
  <c r="N301" i="2"/>
  <c r="L320" i="2"/>
  <c r="M350" i="2"/>
  <c r="N354" i="2"/>
  <c r="N352" i="2" s="1"/>
  <c r="L360" i="2"/>
  <c r="L374" i="2"/>
  <c r="T394" i="2"/>
  <c r="L424" i="2"/>
  <c r="R21" i="2"/>
  <c r="R13" i="2" s="1"/>
  <c r="Y296" i="2"/>
  <c r="Y346" i="2"/>
  <c r="W160" i="2"/>
  <c r="W38" i="2" s="1"/>
  <c r="N170" i="2"/>
  <c r="M169" i="2"/>
  <c r="K212" i="2"/>
  <c r="K211" i="2" s="1"/>
  <c r="K210" i="2" s="1"/>
  <c r="M290" i="2"/>
  <c r="V312" i="2"/>
  <c r="AB385" i="2"/>
  <c r="AB267" i="2" s="1"/>
  <c r="Y17" i="2"/>
  <c r="O97" i="2"/>
  <c r="Y36" i="2"/>
  <c r="Y310" i="2"/>
  <c r="O153" i="2"/>
  <c r="Z210" i="2"/>
  <c r="Y288" i="2"/>
  <c r="N294" i="2"/>
  <c r="N320" i="2"/>
  <c r="L346" i="2"/>
  <c r="L350" i="2"/>
  <c r="T386" i="2"/>
  <c r="W393" i="2"/>
  <c r="N410" i="2"/>
  <c r="N411" i="2"/>
  <c r="M412" i="2"/>
  <c r="P186" i="2"/>
  <c r="P42" i="2" s="1"/>
  <c r="P44" i="2"/>
  <c r="P275" i="2"/>
  <c r="P417" i="2"/>
  <c r="P273" i="2" s="1"/>
  <c r="R185" i="2"/>
  <c r="R41" i="2" s="1"/>
  <c r="O41" i="2" s="1"/>
  <c r="R43" i="2"/>
  <c r="M54" i="2"/>
  <c r="W154" i="2"/>
  <c r="W36" i="2" s="1"/>
  <c r="M162" i="2"/>
  <c r="Y292" i="2"/>
  <c r="Y349" i="2"/>
  <c r="J20" i="2"/>
  <c r="P50" i="2"/>
  <c r="P32" i="2" s="1"/>
  <c r="K63" i="2"/>
  <c r="K64" i="2"/>
  <c r="AC95" i="2"/>
  <c r="AC33" i="2" s="1"/>
  <c r="L341" i="2"/>
  <c r="N115" i="2"/>
  <c r="K129" i="2"/>
  <c r="Y133" i="2"/>
  <c r="O142" i="2"/>
  <c r="U153" i="2"/>
  <c r="U35" i="2" s="1"/>
  <c r="T35" i="2" s="1"/>
  <c r="V160" i="2"/>
  <c r="V38" i="2" s="1"/>
  <c r="U189" i="2"/>
  <c r="Z221" i="2"/>
  <c r="Z220" i="2" s="1"/>
  <c r="R326" i="2"/>
  <c r="R264" i="2" s="1"/>
  <c r="S390" i="2"/>
  <c r="S268" i="2" s="1"/>
  <c r="W400" i="2"/>
  <c r="X421" i="2"/>
  <c r="X419" i="2" s="1"/>
  <c r="L51" i="2"/>
  <c r="X16" i="2"/>
  <c r="X15" i="2" s="1"/>
  <c r="X14" i="2" s="1"/>
  <c r="M51" i="2"/>
  <c r="K70" i="2"/>
  <c r="K94" i="2"/>
  <c r="L126" i="2"/>
  <c r="K143" i="2"/>
  <c r="Y380" i="2"/>
  <c r="J156" i="2"/>
  <c r="X160" i="2"/>
  <c r="X38" i="2" s="1"/>
  <c r="N177" i="2"/>
  <c r="N39" i="2" s="1"/>
  <c r="Y207" i="2"/>
  <c r="Q274" i="2"/>
  <c r="L284" i="2"/>
  <c r="L295" i="2"/>
  <c r="M311" i="2"/>
  <c r="W372" i="2"/>
  <c r="AC393" i="2"/>
  <c r="K402" i="2"/>
  <c r="K403" i="2"/>
  <c r="W409" i="2"/>
  <c r="W271" i="2" s="1"/>
  <c r="V21" i="2"/>
  <c r="V13" i="2" s="1"/>
  <c r="Q44" i="2"/>
  <c r="Q49" i="2"/>
  <c r="Q31" i="2" s="1"/>
  <c r="AC49" i="2"/>
  <c r="N51" i="2"/>
  <c r="W49" i="2"/>
  <c r="X82" i="2"/>
  <c r="AC313" i="2"/>
  <c r="Z126" i="2"/>
  <c r="Z357" i="2" s="1"/>
  <c r="T127" i="2"/>
  <c r="N158" i="2"/>
  <c r="N154" i="2" s="1"/>
  <c r="N36" i="2" s="1"/>
  <c r="AB159" i="2"/>
  <c r="AB37" i="2" s="1"/>
  <c r="N397" i="2"/>
  <c r="AC409" i="2"/>
  <c r="AC271" i="2" s="1"/>
  <c r="AB282" i="2"/>
  <c r="L291" i="2"/>
  <c r="K292" i="2"/>
  <c r="M294" i="2"/>
  <c r="M295" i="2"/>
  <c r="M303" i="2"/>
  <c r="N308" i="2"/>
  <c r="N319" i="2"/>
  <c r="Q326" i="2"/>
  <c r="Q264" i="2" s="1"/>
  <c r="V372" i="2"/>
  <c r="L375" i="2"/>
  <c r="U393" i="2"/>
  <c r="T393" i="2" s="1"/>
  <c r="N399" i="2"/>
  <c r="N406" i="2"/>
  <c r="M407" i="2"/>
  <c r="X420" i="2"/>
  <c r="X418" i="2" s="1"/>
  <c r="X416" i="2" s="1"/>
  <c r="X272" i="2" s="1"/>
  <c r="M26" i="2"/>
  <c r="S43" i="2"/>
  <c r="P95" i="2"/>
  <c r="P33" i="2" s="1"/>
  <c r="Y334" i="2"/>
  <c r="Y342" i="2"/>
  <c r="M116" i="2"/>
  <c r="L349" i="2"/>
  <c r="U125" i="2"/>
  <c r="O126" i="2"/>
  <c r="J147" i="2"/>
  <c r="K150" i="2"/>
  <c r="K182" i="2"/>
  <c r="P280" i="2"/>
  <c r="P262" i="2" s="1"/>
  <c r="L292" i="2"/>
  <c r="K293" i="2"/>
  <c r="N304" i="2"/>
  <c r="N305" i="2"/>
  <c r="W306" i="2"/>
  <c r="L317" i="2"/>
  <c r="M332" i="2"/>
  <c r="M334" i="2"/>
  <c r="L342" i="2"/>
  <c r="M343" i="2"/>
  <c r="O352" i="2"/>
  <c r="L368" i="2"/>
  <c r="N370" i="2"/>
  <c r="AA372" i="2"/>
  <c r="M375" i="2"/>
  <c r="L378" i="2"/>
  <c r="N386" i="2"/>
  <c r="N384" i="2" s="1"/>
  <c r="N266" i="2" s="1"/>
  <c r="L388" i="2"/>
  <c r="AA408" i="2"/>
  <c r="AA270" i="2" s="1"/>
  <c r="Y35" i="2"/>
  <c r="S49" i="2"/>
  <c r="S31" i="2" s="1"/>
  <c r="Q50" i="2"/>
  <c r="Q32" i="2" s="1"/>
  <c r="W76" i="2"/>
  <c r="T75" i="2"/>
  <c r="S96" i="2"/>
  <c r="S34" i="2" s="1"/>
  <c r="K104" i="2"/>
  <c r="M105" i="2"/>
  <c r="J136" i="2"/>
  <c r="M141" i="2"/>
  <c r="Z189" i="2"/>
  <c r="Z187" i="2" s="1"/>
  <c r="L256" i="2"/>
  <c r="AB312" i="2"/>
  <c r="N333" i="2"/>
  <c r="N334" i="2"/>
  <c r="M342" i="2"/>
  <c r="N343" i="2"/>
  <c r="M368" i="2"/>
  <c r="AB372" i="2"/>
  <c r="L380" i="2"/>
  <c r="AC400" i="2"/>
  <c r="L414" i="2"/>
  <c r="N415" i="2"/>
  <c r="O39" i="2"/>
  <c r="U160" i="2"/>
  <c r="U38" i="2" s="1"/>
  <c r="W43" i="2"/>
  <c r="V49" i="2"/>
  <c r="V47" i="2" s="1"/>
  <c r="V45" i="2" s="1"/>
  <c r="V203" i="2" s="1"/>
  <c r="V201" i="2" s="1"/>
  <c r="R50" i="2"/>
  <c r="R32" i="2" s="1"/>
  <c r="AA283" i="2"/>
  <c r="L110" i="2"/>
  <c r="Y115" i="2"/>
  <c r="M150" i="2"/>
  <c r="K166" i="2"/>
  <c r="T221" i="2"/>
  <c r="J223" i="2"/>
  <c r="AA247" i="2"/>
  <c r="AA246" i="2" s="1"/>
  <c r="AA245" i="2" s="1"/>
  <c r="AC312" i="2"/>
  <c r="Y319" i="2"/>
  <c r="M333" i="2"/>
  <c r="N365" i="2"/>
  <c r="N369" i="2"/>
  <c r="N374" i="2"/>
  <c r="L383" i="2"/>
  <c r="X390" i="2"/>
  <c r="X268" i="2" s="1"/>
  <c r="X393" i="2"/>
  <c r="U400" i="2"/>
  <c r="AA401" i="2"/>
  <c r="X408" i="2"/>
  <c r="X270" i="2" s="1"/>
  <c r="Z16" i="2"/>
  <c r="K23" i="2"/>
  <c r="K22" i="2" s="1"/>
  <c r="Z25" i="2"/>
  <c r="Z24" i="2" s="1"/>
  <c r="Y24" i="2" s="1"/>
  <c r="Z52" i="2"/>
  <c r="M287" i="2"/>
  <c r="Y64" i="2"/>
  <c r="J64" i="2" s="1"/>
  <c r="M66" i="2"/>
  <c r="T68" i="2"/>
  <c r="K78" i="2"/>
  <c r="T83" i="2"/>
  <c r="Y89" i="2"/>
  <c r="T94" i="2"/>
  <c r="O98" i="2"/>
  <c r="L106" i="2"/>
  <c r="Y107" i="2"/>
  <c r="Y116" i="2"/>
  <c r="V355" i="2"/>
  <c r="T355" i="2" s="1"/>
  <c r="V122" i="2"/>
  <c r="V353" i="2" s="1"/>
  <c r="T353" i="2" s="1"/>
  <c r="Y213" i="2"/>
  <c r="N213" i="2"/>
  <c r="J213" i="2" s="1"/>
  <c r="J214" i="2"/>
  <c r="P22" i="2"/>
  <c r="O40" i="2"/>
  <c r="U51" i="2"/>
  <c r="T51" i="2" s="1"/>
  <c r="AB52" i="2"/>
  <c r="AB50" i="2" s="1"/>
  <c r="K55" i="2"/>
  <c r="J60" i="2"/>
  <c r="J62" i="2"/>
  <c r="N66" i="2"/>
  <c r="Z76" i="2"/>
  <c r="O81" i="2"/>
  <c r="T87" i="2"/>
  <c r="J87" i="2" s="1"/>
  <c r="Y320" i="2"/>
  <c r="K99" i="2"/>
  <c r="K103" i="2"/>
  <c r="N106" i="2"/>
  <c r="K113" i="2"/>
  <c r="Z350" i="2"/>
  <c r="Y350" i="2" s="1"/>
  <c r="K119" i="2"/>
  <c r="AA385" i="2"/>
  <c r="AA267" i="2" s="1"/>
  <c r="T422" i="2"/>
  <c r="S262" i="2"/>
  <c r="J18" i="2"/>
  <c r="M24" i="2"/>
  <c r="M21" i="2" s="1"/>
  <c r="O35" i="2"/>
  <c r="K89" i="2"/>
  <c r="M118" i="2"/>
  <c r="Z370" i="2"/>
  <c r="Y370" i="2" s="1"/>
  <c r="Y139" i="2"/>
  <c r="V220" i="2"/>
  <c r="V219" i="2" s="1"/>
  <c r="V218" i="2" s="1"/>
  <c r="V217" i="2" s="1"/>
  <c r="V216" i="2" s="1"/>
  <c r="V215" i="2" s="1"/>
  <c r="M388" i="2"/>
  <c r="W384" i="2"/>
  <c r="W266" i="2" s="1"/>
  <c r="X274" i="2"/>
  <c r="Y426" i="2"/>
  <c r="K426" i="2"/>
  <c r="AC21" i="2"/>
  <c r="AC13" i="2" s="1"/>
  <c r="O36" i="2"/>
  <c r="P48" i="2"/>
  <c r="P46" i="2" s="1"/>
  <c r="U81" i="2"/>
  <c r="T81" i="2" s="1"/>
  <c r="K83" i="2"/>
  <c r="J88" i="2"/>
  <c r="AB97" i="2"/>
  <c r="AB95" i="2" s="1"/>
  <c r="AB33" i="2" s="1"/>
  <c r="N387" i="2"/>
  <c r="AC385" i="2"/>
  <c r="AC267" i="2" s="1"/>
  <c r="K221" i="2"/>
  <c r="Y18" i="2"/>
  <c r="T19" i="2"/>
  <c r="L25" i="2"/>
  <c r="J61" i="2"/>
  <c r="T85" i="2"/>
  <c r="K87" i="2"/>
  <c r="V98" i="2"/>
  <c r="L100" i="2"/>
  <c r="Y106" i="2"/>
  <c r="J106" i="2" s="1"/>
  <c r="Y112" i="2"/>
  <c r="J112" i="2" s="1"/>
  <c r="U348" i="2"/>
  <c r="U328" i="2" s="1"/>
  <c r="M126" i="2"/>
  <c r="Z362" i="2"/>
  <c r="Y362" i="2" s="1"/>
  <c r="Y131" i="2"/>
  <c r="J131" i="2" s="1"/>
  <c r="K131" i="2"/>
  <c r="X381" i="2"/>
  <c r="N381" i="2" s="1"/>
  <c r="N150" i="2"/>
  <c r="N142" i="2" s="1"/>
  <c r="X142" i="2"/>
  <c r="T379" i="2"/>
  <c r="Y396" i="2"/>
  <c r="O400" i="2"/>
  <c r="T17" i="2"/>
  <c r="P49" i="2"/>
  <c r="P31" i="2" s="1"/>
  <c r="J72" i="2"/>
  <c r="Y78" i="2"/>
  <c r="Z82" i="2"/>
  <c r="T92" i="2"/>
  <c r="J92" i="2" s="1"/>
  <c r="AB98" i="2"/>
  <c r="N100" i="2"/>
  <c r="M104" i="2"/>
  <c r="M108" i="2"/>
  <c r="T113" i="2"/>
  <c r="L347" i="2"/>
  <c r="L288" i="2"/>
  <c r="V282" i="2"/>
  <c r="N322" i="2"/>
  <c r="X312" i="2"/>
  <c r="M398" i="2"/>
  <c r="W392" i="2"/>
  <c r="T402" i="2"/>
  <c r="V400" i="2"/>
  <c r="V390" i="2" s="1"/>
  <c r="V268" i="2" s="1"/>
  <c r="L402" i="2"/>
  <c r="W21" i="2"/>
  <c r="O26" i="2"/>
  <c r="Y26" i="2"/>
  <c r="T55" i="2"/>
  <c r="J59" i="2"/>
  <c r="T67" i="2"/>
  <c r="U97" i="2"/>
  <c r="W347" i="2"/>
  <c r="M347" i="2" s="1"/>
  <c r="M286" i="2"/>
  <c r="W282" i="2"/>
  <c r="AC392" i="2"/>
  <c r="N396" i="2"/>
  <c r="J117" i="2"/>
  <c r="O121" i="2"/>
  <c r="M124" i="2"/>
  <c r="M122" i="2" s="1"/>
  <c r="T129" i="2"/>
  <c r="Y150" i="2"/>
  <c r="AC160" i="2"/>
  <c r="AC38" i="2" s="1"/>
  <c r="Y174" i="2"/>
  <c r="AB190" i="2"/>
  <c r="AB188" i="2" s="1"/>
  <c r="K192" i="2"/>
  <c r="L198" i="2"/>
  <c r="AA211" i="2"/>
  <c r="AA210" i="2" s="1"/>
  <c r="AA206" i="2" s="1"/>
  <c r="Y212" i="2"/>
  <c r="L221" i="2"/>
  <c r="O282" i="2"/>
  <c r="T293" i="2"/>
  <c r="Y322" i="2"/>
  <c r="L324" i="2"/>
  <c r="Y330" i="2"/>
  <c r="T350" i="2"/>
  <c r="J350" i="2" s="1"/>
  <c r="O356" i="2"/>
  <c r="L356" i="2"/>
  <c r="M369" i="2"/>
  <c r="AC373" i="2"/>
  <c r="U392" i="2"/>
  <c r="U390" i="2" s="1"/>
  <c r="U268" i="2" s="1"/>
  <c r="N394" i="2"/>
  <c r="AB392" i="2"/>
  <c r="T396" i="2"/>
  <c r="AB122" i="2"/>
  <c r="AB353" i="2" s="1"/>
  <c r="Y138" i="2"/>
  <c r="J138" i="2" s="1"/>
  <c r="T140" i="2"/>
  <c r="AA142" i="2"/>
  <c r="J145" i="2"/>
  <c r="W159" i="2"/>
  <c r="W37" i="2" s="1"/>
  <c r="L397" i="2"/>
  <c r="O170" i="2"/>
  <c r="O177" i="2"/>
  <c r="M192" i="2"/>
  <c r="N221" i="2"/>
  <c r="N220" i="2" s="1"/>
  <c r="N219" i="2" s="1"/>
  <c r="N218" i="2" s="1"/>
  <c r="N217" i="2" s="1"/>
  <c r="N216" i="2" s="1"/>
  <c r="N215" i="2" s="1"/>
  <c r="O271" i="2"/>
  <c r="T290" i="2"/>
  <c r="L298" i="2"/>
  <c r="K302" i="2"/>
  <c r="S281" i="2"/>
  <c r="S263" i="2" s="1"/>
  <c r="Q281" i="2"/>
  <c r="Q263" i="2" s="1"/>
  <c r="L316" i="2"/>
  <c r="L323" i="2"/>
  <c r="M324" i="2"/>
  <c r="N336" i="2"/>
  <c r="N348" i="2"/>
  <c r="T362" i="2"/>
  <c r="Y376" i="2"/>
  <c r="M396" i="2"/>
  <c r="L422" i="2"/>
  <c r="Y153" i="2"/>
  <c r="AB247" i="2"/>
  <c r="AB246" i="2" s="1"/>
  <c r="AB245" i="2" s="1"/>
  <c r="N324" i="2"/>
  <c r="AC328" i="2"/>
  <c r="M380" i="2"/>
  <c r="L384" i="2"/>
  <c r="L266" i="2" s="1"/>
  <c r="AC401" i="2"/>
  <c r="M414" i="2"/>
  <c r="S95" i="2"/>
  <c r="S33" i="2" s="1"/>
  <c r="M355" i="2"/>
  <c r="M353" i="2" s="1"/>
  <c r="K138" i="2"/>
  <c r="L369" i="2"/>
  <c r="Q96" i="2"/>
  <c r="Q34" i="2" s="1"/>
  <c r="K152" i="2"/>
  <c r="L389" i="2"/>
  <c r="Y161" i="2"/>
  <c r="O169" i="2"/>
  <c r="O188" i="2"/>
  <c r="N425" i="2"/>
  <c r="Y428" i="2"/>
  <c r="J222" i="2"/>
  <c r="V252" i="2"/>
  <c r="O267" i="2"/>
  <c r="L289" i="2"/>
  <c r="N290" i="2"/>
  <c r="M292" i="2"/>
  <c r="N314" i="2"/>
  <c r="N316" i="2"/>
  <c r="M319" i="2"/>
  <c r="N323" i="2"/>
  <c r="T337" i="2"/>
  <c r="J337" i="2" s="1"/>
  <c r="N351" i="2"/>
  <c r="M365" i="2"/>
  <c r="T366" i="2"/>
  <c r="M374" i="2"/>
  <c r="V384" i="2"/>
  <c r="V266" i="2" s="1"/>
  <c r="K396" i="2"/>
  <c r="AA400" i="2"/>
  <c r="AA390" i="2" s="1"/>
  <c r="AA268" i="2" s="1"/>
  <c r="L406" i="2"/>
  <c r="AC408" i="2"/>
  <c r="AC270" i="2" s="1"/>
  <c r="L430" i="2"/>
  <c r="J119" i="2"/>
  <c r="N355" i="2"/>
  <c r="N353" i="2" s="1"/>
  <c r="K133" i="2"/>
  <c r="L138" i="2"/>
  <c r="K140" i="2"/>
  <c r="O178" i="2"/>
  <c r="AC178" i="2"/>
  <c r="AC40" i="2" s="1"/>
  <c r="N182" i="2"/>
  <c r="N178" i="2" s="1"/>
  <c r="N40" i="2" s="1"/>
  <c r="O187" i="2"/>
  <c r="T257" i="2"/>
  <c r="O274" i="2"/>
  <c r="T302" i="2"/>
  <c r="J302" i="2" s="1"/>
  <c r="AC306" i="2"/>
  <c r="N310" i="2"/>
  <c r="N306" i="2" s="1"/>
  <c r="M320" i="2"/>
  <c r="M340" i="2"/>
  <c r="N362" i="2"/>
  <c r="T378" i="2"/>
  <c r="Z385" i="2"/>
  <c r="Z267" i="2" s="1"/>
  <c r="AC384" i="2"/>
  <c r="AC266" i="2" s="1"/>
  <c r="M405" i="2"/>
  <c r="L426" i="2"/>
  <c r="Y137" i="2"/>
  <c r="J137" i="2" s="1"/>
  <c r="R159" i="2"/>
  <c r="R37" i="2" s="1"/>
  <c r="AC189" i="2"/>
  <c r="AC187" i="2" s="1"/>
  <c r="AA419" i="2"/>
  <c r="AA417" i="2" s="1"/>
  <c r="AA273" i="2" s="1"/>
  <c r="K197" i="2"/>
  <c r="T253" i="2"/>
  <c r="M304" i="2"/>
  <c r="M317" i="2"/>
  <c r="O329" i="2"/>
  <c r="M351" i="2"/>
  <c r="N360" i="2"/>
  <c r="L362" i="2"/>
  <c r="N366" i="2"/>
  <c r="O394" i="2"/>
  <c r="T398" i="2"/>
  <c r="W401" i="2"/>
  <c r="M415" i="2"/>
  <c r="N429" i="2"/>
  <c r="O125" i="2"/>
  <c r="J135" i="2"/>
  <c r="U141" i="2"/>
  <c r="J165" i="2"/>
  <c r="J167" i="2"/>
  <c r="T170" i="2"/>
  <c r="J174" i="2"/>
  <c r="J196" i="2"/>
  <c r="W252" i="2"/>
  <c r="M322" i="2"/>
  <c r="Q327" i="2"/>
  <c r="Q265" i="2" s="1"/>
  <c r="O265" i="2" s="1"/>
  <c r="M330" i="2"/>
  <c r="N367" i="2"/>
  <c r="N376" i="2"/>
  <c r="K394" i="2"/>
  <c r="L410" i="2"/>
  <c r="L408" i="2" s="1"/>
  <c r="L270" i="2" s="1"/>
  <c r="AB31" i="2"/>
  <c r="Y22" i="2"/>
  <c r="S32" i="2"/>
  <c r="AB32" i="2"/>
  <c r="P30" i="2"/>
  <c r="AB21" i="2"/>
  <c r="L24" i="2"/>
  <c r="U15" i="2"/>
  <c r="K16" i="2"/>
  <c r="Q254" i="2"/>
  <c r="O254" i="2" s="1"/>
  <c r="Q22" i="2"/>
  <c r="Q21" i="2" s="1"/>
  <c r="Q13" i="2" s="1"/>
  <c r="O23" i="2"/>
  <c r="L23" i="2"/>
  <c r="L22" i="2" s="1"/>
  <c r="S25" i="2"/>
  <c r="N26" i="2"/>
  <c r="X31" i="2"/>
  <c r="Y284" i="2"/>
  <c r="K287" i="2"/>
  <c r="T287" i="2"/>
  <c r="Y249" i="2"/>
  <c r="Z248" i="2"/>
  <c r="Y19" i="2"/>
  <c r="N254" i="2"/>
  <c r="N253" i="2" s="1"/>
  <c r="S253" i="2"/>
  <c r="M25" i="2"/>
  <c r="U25" i="2"/>
  <c r="L26" i="2"/>
  <c r="T26" i="2"/>
  <c r="U52" i="2"/>
  <c r="AC52" i="2"/>
  <c r="T54" i="2"/>
  <c r="AB283" i="2"/>
  <c r="L287" i="2"/>
  <c r="T57" i="2"/>
  <c r="J57" i="2" s="1"/>
  <c r="T66" i="2"/>
  <c r="T298" i="2"/>
  <c r="J71" i="2"/>
  <c r="T73" i="2"/>
  <c r="N75" i="2"/>
  <c r="AA309" i="2"/>
  <c r="AA307" i="2" s="1"/>
  <c r="L78" i="2"/>
  <c r="AA76" i="2"/>
  <c r="K79" i="2"/>
  <c r="O82" i="2"/>
  <c r="Z314" i="2"/>
  <c r="K314" i="2" s="1"/>
  <c r="Y83" i="2"/>
  <c r="L81" i="2"/>
  <c r="AA335" i="2"/>
  <c r="L335" i="2" s="1"/>
  <c r="Y104" i="2"/>
  <c r="J104" i="2" s="1"/>
  <c r="AA98" i="2"/>
  <c r="L104" i="2"/>
  <c r="X345" i="2"/>
  <c r="N345" i="2" s="1"/>
  <c r="T114" i="2"/>
  <c r="N114" i="2"/>
  <c r="O122" i="2"/>
  <c r="R96" i="2"/>
  <c r="R34" i="2" s="1"/>
  <c r="Z360" i="2"/>
  <c r="Y360" i="2" s="1"/>
  <c r="Y129" i="2"/>
  <c r="L141" i="2"/>
  <c r="W16" i="2"/>
  <c r="W15" i="2" s="1"/>
  <c r="W14" i="2" s="1"/>
  <c r="N17" i="2"/>
  <c r="N16" i="2" s="1"/>
  <c r="N15" i="2" s="1"/>
  <c r="N14" i="2" s="1"/>
  <c r="M19" i="2"/>
  <c r="J19" i="2" s="1"/>
  <c r="T22" i="2"/>
  <c r="O51" i="2"/>
  <c r="T285" i="2"/>
  <c r="J285" i="2" s="1"/>
  <c r="K285" i="2"/>
  <c r="AC283" i="2"/>
  <c r="K56" i="2"/>
  <c r="K288" i="2"/>
  <c r="T288" i="2"/>
  <c r="J288" i="2" s="1"/>
  <c r="K297" i="2"/>
  <c r="Z298" i="2"/>
  <c r="Y298" i="2" s="1"/>
  <c r="Y67" i="2"/>
  <c r="T304" i="2"/>
  <c r="Z316" i="2"/>
  <c r="Y316" i="2" s="1"/>
  <c r="Y85" i="2"/>
  <c r="U321" i="2"/>
  <c r="U313" i="2" s="1"/>
  <c r="T90" i="2"/>
  <c r="K90" i="2"/>
  <c r="Z358" i="2"/>
  <c r="Y358" i="2" s="1"/>
  <c r="Y127" i="2"/>
  <c r="Z125" i="2"/>
  <c r="U365" i="2"/>
  <c r="T134" i="2"/>
  <c r="K134" i="2"/>
  <c r="L169" i="2"/>
  <c r="R49" i="2"/>
  <c r="O52" i="2"/>
  <c r="W52" i="2"/>
  <c r="L285" i="2"/>
  <c r="L56" i="2"/>
  <c r="N287" i="2"/>
  <c r="V297" i="2"/>
  <c r="L297" i="2" s="1"/>
  <c r="K67" i="2"/>
  <c r="T299" i="2"/>
  <c r="K299" i="2"/>
  <c r="U300" i="2"/>
  <c r="U282" i="2" s="1"/>
  <c r="T69" i="2"/>
  <c r="Z304" i="2"/>
  <c r="Y304" i="2" s="1"/>
  <c r="Y73" i="2"/>
  <c r="U308" i="2"/>
  <c r="T77" i="2"/>
  <c r="M76" i="2"/>
  <c r="K85" i="2"/>
  <c r="W325" i="2"/>
  <c r="M325" i="2" s="1"/>
  <c r="W82" i="2"/>
  <c r="M94" i="2"/>
  <c r="M82" i="2" s="1"/>
  <c r="Z333" i="2"/>
  <c r="K333" i="2" s="1"/>
  <c r="Y102" i="2"/>
  <c r="J102" i="2" s="1"/>
  <c r="Z98" i="2"/>
  <c r="K102" i="2"/>
  <c r="AC339" i="2"/>
  <c r="N108" i="2"/>
  <c r="U354" i="2"/>
  <c r="T123" i="2"/>
  <c r="K123" i="2"/>
  <c r="U121" i="2"/>
  <c r="U356" i="2"/>
  <c r="T356" i="2" s="1"/>
  <c r="T125" i="2"/>
  <c r="K127" i="2"/>
  <c r="P25" i="2"/>
  <c r="X25" i="2"/>
  <c r="X24" i="2" s="1"/>
  <c r="X21" i="2" s="1"/>
  <c r="X13" i="2" s="1"/>
  <c r="X52" i="2"/>
  <c r="X50" i="2" s="1"/>
  <c r="K54" i="2"/>
  <c r="W283" i="2"/>
  <c r="M285" i="2"/>
  <c r="T286" i="2"/>
  <c r="J286" i="2" s="1"/>
  <c r="K286" i="2"/>
  <c r="M56" i="2"/>
  <c r="Y56" i="2"/>
  <c r="K57" i="2"/>
  <c r="T58" i="2"/>
  <c r="J58" i="2" s="1"/>
  <c r="Y295" i="2"/>
  <c r="K66" i="2"/>
  <c r="M297" i="2"/>
  <c r="Y68" i="2"/>
  <c r="J68" i="2" s="1"/>
  <c r="Z300" i="2"/>
  <c r="Y300" i="2" s="1"/>
  <c r="Y69" i="2"/>
  <c r="T301" i="2"/>
  <c r="K73" i="2"/>
  <c r="O75" i="2"/>
  <c r="Z308" i="2"/>
  <c r="Z75" i="2"/>
  <c r="Y75" i="2" s="1"/>
  <c r="Y77" i="2"/>
  <c r="U311" i="2"/>
  <c r="U307" i="2" s="1"/>
  <c r="T80" i="2"/>
  <c r="U76" i="2"/>
  <c r="K80" i="2"/>
  <c r="M81" i="2"/>
  <c r="N97" i="2"/>
  <c r="AB357" i="2"/>
  <c r="L208" i="2"/>
  <c r="S256" i="2"/>
  <c r="O256" i="2" s="1"/>
  <c r="K53" i="2"/>
  <c r="Z51" i="2"/>
  <c r="T53" i="2"/>
  <c r="L54" i="2"/>
  <c r="X283" i="2"/>
  <c r="N285" i="2"/>
  <c r="Y55" i="2"/>
  <c r="N56" i="2"/>
  <c r="Y287" i="2"/>
  <c r="K289" i="2"/>
  <c r="T289" i="2"/>
  <c r="T65" i="2"/>
  <c r="L66" i="2"/>
  <c r="K68" i="2"/>
  <c r="Y299" i="2"/>
  <c r="Z301" i="2"/>
  <c r="K301" i="2" s="1"/>
  <c r="Y70" i="2"/>
  <c r="J70" i="2" s="1"/>
  <c r="W331" i="2"/>
  <c r="T100" i="2"/>
  <c r="J100" i="2" s="1"/>
  <c r="M100" i="2"/>
  <c r="W98" i="2"/>
  <c r="W96" i="2" s="1"/>
  <c r="W34" i="2" s="1"/>
  <c r="X341" i="2"/>
  <c r="N341" i="2" s="1"/>
  <c r="N110" i="2"/>
  <c r="X98" i="2"/>
  <c r="AA352" i="2"/>
  <c r="AA95" i="2"/>
  <c r="AA33" i="2" s="1"/>
  <c r="J139" i="2"/>
  <c r="W219" i="2"/>
  <c r="W31" i="2"/>
  <c r="K284" i="2"/>
  <c r="T284" i="2"/>
  <c r="Y54" i="2"/>
  <c r="K296" i="2"/>
  <c r="T296" i="2"/>
  <c r="Y66" i="2"/>
  <c r="X309" i="2"/>
  <c r="T309" i="2" s="1"/>
  <c r="N78" i="2"/>
  <c r="L97" i="2"/>
  <c r="N141" i="2"/>
  <c r="U389" i="2"/>
  <c r="T158" i="2"/>
  <c r="T154" i="2" s="1"/>
  <c r="U154" i="2"/>
  <c r="U36" i="2" s="1"/>
  <c r="K158" i="2"/>
  <c r="P253" i="2"/>
  <c r="K254" i="2"/>
  <c r="Y257" i="2"/>
  <c r="Z256" i="2"/>
  <c r="K257" i="2"/>
  <c r="AA52" i="2"/>
  <c r="Y53" i="2"/>
  <c r="N54" i="2"/>
  <c r="Y285" i="2"/>
  <c r="T56" i="2"/>
  <c r="J56" i="2" s="1"/>
  <c r="Y65" i="2"/>
  <c r="Y297" i="2"/>
  <c r="U305" i="2"/>
  <c r="U283" i="2" s="1"/>
  <c r="K74" i="2"/>
  <c r="T74" i="2"/>
  <c r="Y79" i="2"/>
  <c r="W95" i="2"/>
  <c r="W33" i="2" s="1"/>
  <c r="Z353" i="2"/>
  <c r="AA355" i="2"/>
  <c r="Y124" i="2"/>
  <c r="AA122" i="2"/>
  <c r="AA353" i="2" s="1"/>
  <c r="J155" i="2"/>
  <c r="Y80" i="2"/>
  <c r="U82" i="2"/>
  <c r="AC82" i="2"/>
  <c r="T84" i="2"/>
  <c r="T86" i="2"/>
  <c r="T319" i="2"/>
  <c r="J319" i="2" s="1"/>
  <c r="K319" i="2"/>
  <c r="Y90" i="2"/>
  <c r="K92" i="2"/>
  <c r="T93" i="2"/>
  <c r="L94" i="2"/>
  <c r="N325" i="2"/>
  <c r="X313" i="2"/>
  <c r="N331" i="2"/>
  <c r="L333" i="2"/>
  <c r="M335" i="2"/>
  <c r="AB329" i="2"/>
  <c r="L337" i="2"/>
  <c r="Y337" i="2"/>
  <c r="T339" i="2"/>
  <c r="K339" i="2"/>
  <c r="T109" i="2"/>
  <c r="J109" i="2" s="1"/>
  <c r="M110" i="2"/>
  <c r="K112" i="2"/>
  <c r="Y343" i="2"/>
  <c r="Y114" i="2"/>
  <c r="M115" i="2"/>
  <c r="N116" i="2"/>
  <c r="Y347" i="2"/>
  <c r="K117" i="2"/>
  <c r="T118" i="2"/>
  <c r="J118" i="2" s="1"/>
  <c r="K122" i="2"/>
  <c r="Y123" i="2"/>
  <c r="N124" i="2"/>
  <c r="U126" i="2"/>
  <c r="T128" i="2"/>
  <c r="T130" i="2"/>
  <c r="Y132" i="2"/>
  <c r="J132" i="2" s="1"/>
  <c r="Y134" i="2"/>
  <c r="U370" i="2"/>
  <c r="K139" i="2"/>
  <c r="O141" i="2"/>
  <c r="J146" i="2"/>
  <c r="S395" i="2"/>
  <c r="O395" i="2" s="1"/>
  <c r="N164" i="2"/>
  <c r="Z206" i="2"/>
  <c r="M221" i="2"/>
  <c r="Y311" i="2"/>
  <c r="K315" i="2"/>
  <c r="T315" i="2"/>
  <c r="K317" i="2"/>
  <c r="T317" i="2"/>
  <c r="Y321" i="2"/>
  <c r="T324" i="2"/>
  <c r="K324" i="2"/>
  <c r="Y94" i="2"/>
  <c r="AC329" i="2"/>
  <c r="L339" i="2"/>
  <c r="T340" i="2"/>
  <c r="K340" i="2"/>
  <c r="K349" i="2"/>
  <c r="T349" i="2"/>
  <c r="T359" i="2"/>
  <c r="K359" i="2"/>
  <c r="K361" i="2"/>
  <c r="T361" i="2"/>
  <c r="Y363" i="2"/>
  <c r="Y365" i="2"/>
  <c r="U375" i="2"/>
  <c r="K144" i="2"/>
  <c r="T144" i="2"/>
  <c r="U142" i="2"/>
  <c r="Z378" i="2"/>
  <c r="Z372" i="2" s="1"/>
  <c r="K147" i="2"/>
  <c r="Y162" i="2"/>
  <c r="AA160" i="2"/>
  <c r="AA38" i="2" s="1"/>
  <c r="M161" i="2"/>
  <c r="Y169" i="2"/>
  <c r="Y159" i="2" s="1"/>
  <c r="Z159" i="2"/>
  <c r="Z37" i="2" s="1"/>
  <c r="O185" i="2"/>
  <c r="AC423" i="2"/>
  <c r="Y423" i="2" s="1"/>
  <c r="N192" i="2"/>
  <c r="AC190" i="2"/>
  <c r="AC188" i="2" s="1"/>
  <c r="L210" i="2"/>
  <c r="Y74" i="2"/>
  <c r="AC76" i="2"/>
  <c r="T78" i="2"/>
  <c r="T79" i="2"/>
  <c r="Y84" i="2"/>
  <c r="Y86" i="2"/>
  <c r="K88" i="2"/>
  <c r="T89" i="2"/>
  <c r="J89" i="2" s="1"/>
  <c r="T91" i="2"/>
  <c r="J91" i="2" s="1"/>
  <c r="Y93" i="2"/>
  <c r="N94" i="2"/>
  <c r="Y325" i="2"/>
  <c r="Z97" i="2"/>
  <c r="T99" i="2"/>
  <c r="J99" i="2" s="1"/>
  <c r="Y103" i="2"/>
  <c r="J103" i="2" s="1"/>
  <c r="N104" i="2"/>
  <c r="K108" i="2"/>
  <c r="M339" i="2"/>
  <c r="K342" i="2"/>
  <c r="T342" i="2"/>
  <c r="T344" i="2"/>
  <c r="K344" i="2"/>
  <c r="M114" i="2"/>
  <c r="T116" i="2"/>
  <c r="J116" i="2" s="1"/>
  <c r="Y120" i="2"/>
  <c r="J120" i="2" s="1"/>
  <c r="N121" i="2"/>
  <c r="AC122" i="2"/>
  <c r="AC353" i="2" s="1"/>
  <c r="T124" i="2"/>
  <c r="Y128" i="2"/>
  <c r="Y130" i="2"/>
  <c r="K132" i="2"/>
  <c r="T133" i="2"/>
  <c r="T371" i="2"/>
  <c r="U381" i="2"/>
  <c r="T150" i="2"/>
  <c r="M170" i="2"/>
  <c r="M160" i="2" s="1"/>
  <c r="AA185" i="2"/>
  <c r="AA41" i="2" s="1"/>
  <c r="AB422" i="2"/>
  <c r="Y422" i="2" s="1"/>
  <c r="J422" i="2" s="1"/>
  <c r="AB189" i="2"/>
  <c r="AB187" i="2" s="1"/>
  <c r="Y191" i="2"/>
  <c r="J191" i="2" s="1"/>
  <c r="M191" i="2"/>
  <c r="U425" i="2"/>
  <c r="T194" i="2"/>
  <c r="J194" i="2" s="1"/>
  <c r="K194" i="2"/>
  <c r="U190" i="2"/>
  <c r="J195" i="2"/>
  <c r="Y305" i="2"/>
  <c r="W307" i="2"/>
  <c r="M309" i="2"/>
  <c r="M307" i="2" s="1"/>
  <c r="T310" i="2"/>
  <c r="K310" i="2"/>
  <c r="K84" i="2"/>
  <c r="Y315" i="2"/>
  <c r="Z313" i="2"/>
  <c r="K86" i="2"/>
  <c r="Y317" i="2"/>
  <c r="T320" i="2"/>
  <c r="K320" i="2"/>
  <c r="K322" i="2"/>
  <c r="T322" i="2"/>
  <c r="J322" i="2" s="1"/>
  <c r="K93" i="2"/>
  <c r="K330" i="2"/>
  <c r="T330" i="2"/>
  <c r="Y101" i="2"/>
  <c r="J101" i="2" s="1"/>
  <c r="Y105" i="2"/>
  <c r="J105" i="2" s="1"/>
  <c r="M106" i="2"/>
  <c r="T107" i="2"/>
  <c r="L108" i="2"/>
  <c r="Y108" i="2"/>
  <c r="K109" i="2"/>
  <c r="T110" i="2"/>
  <c r="J110" i="2" s="1"/>
  <c r="Y111" i="2"/>
  <c r="J111" i="2" s="1"/>
  <c r="Y113" i="2"/>
  <c r="T115" i="2"/>
  <c r="J115" i="2" s="1"/>
  <c r="K347" i="2"/>
  <c r="K118" i="2"/>
  <c r="Y351" i="2"/>
  <c r="K128" i="2"/>
  <c r="Y359" i="2"/>
  <c r="K130" i="2"/>
  <c r="Y361" i="2"/>
  <c r="T364" i="2"/>
  <c r="J364" i="2" s="1"/>
  <c r="K364" i="2"/>
  <c r="Z371" i="2"/>
  <c r="Y140" i="2"/>
  <c r="J140" i="2" s="1"/>
  <c r="Z141" i="2"/>
  <c r="Y143" i="2"/>
  <c r="Y141" i="2" s="1"/>
  <c r="J182" i="2"/>
  <c r="Z429" i="2"/>
  <c r="Y198" i="2"/>
  <c r="J198" i="2" s="1"/>
  <c r="Z190" i="2"/>
  <c r="K198" i="2"/>
  <c r="M210" i="2"/>
  <c r="N249" i="2"/>
  <c r="N248" i="2" s="1"/>
  <c r="AC248" i="2"/>
  <c r="Y332" i="2"/>
  <c r="Z328" i="2"/>
  <c r="K338" i="2"/>
  <c r="T338" i="2"/>
  <c r="J338" i="2" s="1"/>
  <c r="Y339" i="2"/>
  <c r="K341" i="2"/>
  <c r="K346" i="2"/>
  <c r="T346" i="2"/>
  <c r="J346" i="2" s="1"/>
  <c r="Y374" i="2"/>
  <c r="W381" i="2"/>
  <c r="AB410" i="2"/>
  <c r="AB408" i="2" s="1"/>
  <c r="AB270" i="2" s="1"/>
  <c r="Y179" i="2"/>
  <c r="J179" i="2" s="1"/>
  <c r="AB177" i="2"/>
  <c r="AB39" i="2" s="1"/>
  <c r="M179" i="2"/>
  <c r="Z414" i="2"/>
  <c r="Y414" i="2" s="1"/>
  <c r="Y183" i="2"/>
  <c r="T314" i="2"/>
  <c r="U312" i="2"/>
  <c r="T316" i="2"/>
  <c r="K318" i="2"/>
  <c r="T318" i="2"/>
  <c r="K325" i="2"/>
  <c r="K101" i="2"/>
  <c r="K105" i="2"/>
  <c r="M336" i="2"/>
  <c r="AB328" i="2"/>
  <c r="M346" i="2"/>
  <c r="W328" i="2"/>
  <c r="T358" i="2"/>
  <c r="T360" i="2"/>
  <c r="Y368" i="2"/>
  <c r="K368" i="2"/>
  <c r="J148" i="2"/>
  <c r="U380" i="2"/>
  <c r="K149" i="2"/>
  <c r="T149" i="2"/>
  <c r="N153" i="2"/>
  <c r="N161" i="2"/>
  <c r="Z404" i="2"/>
  <c r="Y173" i="2"/>
  <c r="J173" i="2" s="1"/>
  <c r="K173" i="2"/>
  <c r="K169" i="2" s="1"/>
  <c r="T189" i="2"/>
  <c r="U187" i="2"/>
  <c r="Z431" i="2"/>
  <c r="Y200" i="2"/>
  <c r="J200" i="2" s="1"/>
  <c r="K200" i="2"/>
  <c r="Z307" i="2"/>
  <c r="T323" i="2"/>
  <c r="K323" i="2"/>
  <c r="V313" i="2"/>
  <c r="L325" i="2"/>
  <c r="U98" i="2"/>
  <c r="AC98" i="2"/>
  <c r="AC96" i="2" s="1"/>
  <c r="AC34" i="2" s="1"/>
  <c r="T331" i="2"/>
  <c r="L331" i="2"/>
  <c r="V329" i="2"/>
  <c r="K107" i="2"/>
  <c r="K110" i="2"/>
  <c r="K343" i="2"/>
  <c r="T343" i="2"/>
  <c r="M113" i="2"/>
  <c r="T345" i="2"/>
  <c r="M345" i="2"/>
  <c r="K115" i="2"/>
  <c r="N346" i="2"/>
  <c r="X328" i="2"/>
  <c r="L116" i="2"/>
  <c r="N347" i="2"/>
  <c r="N118" i="2"/>
  <c r="Z121" i="2"/>
  <c r="L124" i="2"/>
  <c r="K137" i="2"/>
  <c r="M142" i="2"/>
  <c r="L154" i="2"/>
  <c r="O161" i="2"/>
  <c r="O159" i="2" s="1"/>
  <c r="Q159" i="2"/>
  <c r="K162" i="2"/>
  <c r="L177" i="2"/>
  <c r="K183" i="2"/>
  <c r="K207" i="2"/>
  <c r="Z142" i="2"/>
  <c r="K374" i="2"/>
  <c r="T374" i="2"/>
  <c r="L150" i="2"/>
  <c r="K151" i="2"/>
  <c r="T162" i="2"/>
  <c r="T160" i="2" s="1"/>
  <c r="L164" i="2"/>
  <c r="L166" i="2"/>
  <c r="Z170" i="2"/>
  <c r="Y413" i="2"/>
  <c r="T184" i="2"/>
  <c r="AC420" i="2"/>
  <c r="AC418" i="2" s="1"/>
  <c r="T193" i="2"/>
  <c r="W421" i="2"/>
  <c r="W419" i="2" s="1"/>
  <c r="M425" i="2"/>
  <c r="M206" i="2"/>
  <c r="AA252" i="2"/>
  <c r="Y253" i="2"/>
  <c r="R253" i="2"/>
  <c r="R252" i="2" s="1"/>
  <c r="R244" i="2" s="1"/>
  <c r="M254" i="2"/>
  <c r="M253" i="2" s="1"/>
  <c r="K295" i="2"/>
  <c r="L413" i="2"/>
  <c r="AA409" i="2"/>
  <c r="AA271" i="2" s="1"/>
  <c r="K415" i="2"/>
  <c r="T415" i="2"/>
  <c r="O189" i="2"/>
  <c r="K424" i="2"/>
  <c r="T424" i="2"/>
  <c r="U420" i="2"/>
  <c r="Y220" i="2"/>
  <c r="T249" i="2"/>
  <c r="U248" i="2"/>
  <c r="K249" i="2"/>
  <c r="Y381" i="2"/>
  <c r="K383" i="2"/>
  <c r="T383" i="2"/>
  <c r="X385" i="2"/>
  <c r="X267" i="2" s="1"/>
  <c r="N389" i="2"/>
  <c r="N385" i="2" s="1"/>
  <c r="N267" i="2" s="1"/>
  <c r="L161" i="2"/>
  <c r="T161" i="2"/>
  <c r="Y405" i="2"/>
  <c r="Z401" i="2"/>
  <c r="K405" i="2"/>
  <c r="AA178" i="2"/>
  <c r="AA40" i="2" s="1"/>
  <c r="M411" i="2"/>
  <c r="AB409" i="2"/>
  <c r="AB271" i="2" s="1"/>
  <c r="L182" i="2"/>
  <c r="V409" i="2"/>
  <c r="V271" i="2" s="1"/>
  <c r="L415" i="2"/>
  <c r="O190" i="2"/>
  <c r="Y193" i="2"/>
  <c r="Y425" i="2"/>
  <c r="V247" i="2"/>
  <c r="V246" i="2" s="1"/>
  <c r="V245" i="2" s="1"/>
  <c r="Y251" i="2"/>
  <c r="AC252" i="2"/>
  <c r="Y369" i="2"/>
  <c r="K369" i="2"/>
  <c r="Y152" i="2"/>
  <c r="T157" i="2"/>
  <c r="J157" i="2" s="1"/>
  <c r="M158" i="2"/>
  <c r="O164" i="2"/>
  <c r="J164" i="2" s="1"/>
  <c r="O166" i="2"/>
  <c r="J166" i="2" s="1"/>
  <c r="N169" i="2"/>
  <c r="K174" i="2"/>
  <c r="Z177" i="2"/>
  <c r="AB178" i="2"/>
  <c r="AB40" i="2" s="1"/>
  <c r="M182" i="2"/>
  <c r="K184" i="2"/>
  <c r="Y184" i="2"/>
  <c r="Y192" i="2"/>
  <c r="J192" i="2" s="1"/>
  <c r="K193" i="2"/>
  <c r="Y424" i="2"/>
  <c r="M194" i="2"/>
  <c r="Y197" i="2"/>
  <c r="J197" i="2" s="1"/>
  <c r="AB211" i="2"/>
  <c r="W247" i="2"/>
  <c r="W246" i="2" s="1"/>
  <c r="W245" i="2" s="1"/>
  <c r="O270" i="2"/>
  <c r="V306" i="2"/>
  <c r="V280" i="2" s="1"/>
  <c r="L310" i="2"/>
  <c r="Y383" i="2"/>
  <c r="T388" i="2"/>
  <c r="U384" i="2"/>
  <c r="U266" i="2" s="1"/>
  <c r="K388" i="2"/>
  <c r="K384" i="2" s="1"/>
  <c r="K266" i="2" s="1"/>
  <c r="P393" i="2"/>
  <c r="K395" i="2"/>
  <c r="O397" i="2"/>
  <c r="K397" i="2"/>
  <c r="U178" i="2"/>
  <c r="Y181" i="2"/>
  <c r="J181" i="2" s="1"/>
  <c r="T183" i="2"/>
  <c r="L184" i="2"/>
  <c r="Y415" i="2"/>
  <c r="Z421" i="2"/>
  <c r="N194" i="2"/>
  <c r="Y208" i="2"/>
  <c r="AC211" i="2"/>
  <c r="AC210" i="2" s="1"/>
  <c r="AC206" i="2" s="1"/>
  <c r="N212" i="2"/>
  <c r="Z219" i="2"/>
  <c r="X247" i="2"/>
  <c r="X246" i="2" s="1"/>
  <c r="X245" i="2" s="1"/>
  <c r="O257" i="2"/>
  <c r="Q393" i="2"/>
  <c r="Q391" i="2" s="1"/>
  <c r="L395" i="2"/>
  <c r="Y412" i="2"/>
  <c r="Z408" i="2"/>
  <c r="T414" i="2"/>
  <c r="U408" i="2"/>
  <c r="AA275" i="2"/>
  <c r="N251" i="2"/>
  <c r="N250" i="2" s="1"/>
  <c r="AC250" i="2"/>
  <c r="Y250" i="2" s="1"/>
  <c r="Q255" i="2"/>
  <c r="O266" i="2"/>
  <c r="Y375" i="2"/>
  <c r="Z373" i="2"/>
  <c r="V373" i="2"/>
  <c r="L381" i="2"/>
  <c r="K382" i="2"/>
  <c r="T382" i="2"/>
  <c r="J382" i="2" s="1"/>
  <c r="X154" i="2"/>
  <c r="X36" i="2" s="1"/>
  <c r="K157" i="2"/>
  <c r="R393" i="2"/>
  <c r="R391" i="2" s="1"/>
  <c r="R269" i="2" s="1"/>
  <c r="M395" i="2"/>
  <c r="M393" i="2" s="1"/>
  <c r="U177" i="2"/>
  <c r="K181" i="2"/>
  <c r="AA190" i="2"/>
  <c r="AA188" i="2" s="1"/>
  <c r="K422" i="2"/>
  <c r="Z420" i="2"/>
  <c r="L192" i="2"/>
  <c r="M423" i="2"/>
  <c r="AB421" i="2"/>
  <c r="AB419" i="2" s="1"/>
  <c r="N193" i="2"/>
  <c r="J209" i="2"/>
  <c r="Y221" i="2"/>
  <c r="L220" i="2"/>
  <c r="T251" i="2"/>
  <c r="U250" i="2"/>
  <c r="T250" i="2" s="1"/>
  <c r="K251" i="2"/>
  <c r="U256" i="2"/>
  <c r="L257" i="2"/>
  <c r="O283" i="2"/>
  <c r="R281" i="2"/>
  <c r="N288" i="2"/>
  <c r="X282" i="2"/>
  <c r="Y290" i="2"/>
  <c r="L293" i="2"/>
  <c r="AC282" i="2"/>
  <c r="N286" i="2"/>
  <c r="L290" i="2"/>
  <c r="AA282" i="2"/>
  <c r="L249" i="2"/>
  <c r="L248" i="2" s="1"/>
  <c r="L251" i="2"/>
  <c r="L250" i="2" s="1"/>
  <c r="V307" i="2"/>
  <c r="M249" i="2"/>
  <c r="M248" i="2" s="1"/>
  <c r="M251" i="2"/>
  <c r="M250" i="2" s="1"/>
  <c r="T292" i="2"/>
  <c r="J292" i="2" s="1"/>
  <c r="N292" i="2"/>
  <c r="L308" i="2"/>
  <c r="AA306" i="2"/>
  <c r="T294" i="2"/>
  <c r="J294" i="2" s="1"/>
  <c r="K294" i="2"/>
  <c r="K291" i="2"/>
  <c r="N302" i="2"/>
  <c r="L303" i="2"/>
  <c r="K309" i="2"/>
  <c r="Y318" i="2"/>
  <c r="M318" i="2"/>
  <c r="O328" i="2"/>
  <c r="P326" i="2"/>
  <c r="Y303" i="2"/>
  <c r="U329" i="2"/>
  <c r="Y291" i="2"/>
  <c r="L336" i="2"/>
  <c r="V328" i="2"/>
  <c r="T295" i="2"/>
  <c r="O307" i="2"/>
  <c r="T303" i="2"/>
  <c r="N335" i="2"/>
  <c r="Y289" i="2"/>
  <c r="T291" i="2"/>
  <c r="Y293" i="2"/>
  <c r="O313" i="2"/>
  <c r="J315" i="2"/>
  <c r="L351" i="2"/>
  <c r="O373" i="2"/>
  <c r="AA328" i="2"/>
  <c r="T332" i="2"/>
  <c r="K334" i="2"/>
  <c r="Y323" i="2"/>
  <c r="N337" i="2"/>
  <c r="N339" i="2"/>
  <c r="T335" i="2"/>
  <c r="K335" i="2"/>
  <c r="N344" i="2"/>
  <c r="Y344" i="2"/>
  <c r="T336" i="2"/>
  <c r="J336" i="2" s="1"/>
  <c r="K331" i="2"/>
  <c r="K332" i="2"/>
  <c r="K336" i="2"/>
  <c r="Y341" i="2"/>
  <c r="Y345" i="2"/>
  <c r="T334" i="2"/>
  <c r="Y331" i="2"/>
  <c r="T333" i="2"/>
  <c r="T367" i="2"/>
  <c r="L367" i="2"/>
  <c r="M357" i="2"/>
  <c r="O353" i="2"/>
  <c r="Y366" i="2"/>
  <c r="J366" i="2" s="1"/>
  <c r="L366" i="2"/>
  <c r="T363" i="2"/>
  <c r="L363" i="2"/>
  <c r="K351" i="2"/>
  <c r="T351" i="2"/>
  <c r="K363" i="2"/>
  <c r="K367" i="2"/>
  <c r="M402" i="2"/>
  <c r="Y402" i="2"/>
  <c r="AB400" i="2"/>
  <c r="T377" i="2"/>
  <c r="N382" i="2"/>
  <c r="X372" i="2"/>
  <c r="T387" i="2"/>
  <c r="O396" i="2"/>
  <c r="L396" i="2"/>
  <c r="L392" i="2" s="1"/>
  <c r="K355" i="2"/>
  <c r="K353" i="2" s="1"/>
  <c r="O357" i="2"/>
  <c r="Y367" i="2"/>
  <c r="T368" i="2"/>
  <c r="N377" i="2"/>
  <c r="W385" i="2"/>
  <c r="W267" i="2" s="1"/>
  <c r="M387" i="2"/>
  <c r="M385" i="2" s="1"/>
  <c r="M267" i="2" s="1"/>
  <c r="N375" i="2"/>
  <c r="AC372" i="2"/>
  <c r="AB373" i="2"/>
  <c r="M386" i="2"/>
  <c r="Y388" i="2"/>
  <c r="T376" i="2"/>
  <c r="K376" i="2"/>
  <c r="Y386" i="2"/>
  <c r="M377" i="2"/>
  <c r="Y377" i="2"/>
  <c r="N378" i="2"/>
  <c r="L387" i="2"/>
  <c r="Y389" i="2"/>
  <c r="Y395" i="2"/>
  <c r="AA393" i="2"/>
  <c r="Y393" i="2" s="1"/>
  <c r="V385" i="2"/>
  <c r="V267" i="2" s="1"/>
  <c r="Y387" i="2"/>
  <c r="X401" i="2"/>
  <c r="X391" i="2" s="1"/>
  <c r="X269" i="2" s="1"/>
  <c r="N403" i="2"/>
  <c r="N401" i="2" s="1"/>
  <c r="Y398" i="2"/>
  <c r="J398" i="2" s="1"/>
  <c r="K398" i="2"/>
  <c r="K412" i="2"/>
  <c r="M376" i="2"/>
  <c r="T399" i="2"/>
  <c r="K399" i="2"/>
  <c r="L407" i="2"/>
  <c r="V401" i="2"/>
  <c r="V391" i="2" s="1"/>
  <c r="V269" i="2" s="1"/>
  <c r="T369" i="2"/>
  <c r="J369" i="2" s="1"/>
  <c r="M379" i="2"/>
  <c r="Y379" i="2"/>
  <c r="O401" i="2"/>
  <c r="Q392" i="2"/>
  <c r="T404" i="2"/>
  <c r="M404" i="2"/>
  <c r="M394" i="2"/>
  <c r="T395" i="2"/>
  <c r="Y397" i="2"/>
  <c r="Y403" i="2"/>
  <c r="T410" i="2"/>
  <c r="Q419" i="2"/>
  <c r="U401" i="2"/>
  <c r="M403" i="2"/>
  <c r="M401" i="2" s="1"/>
  <c r="T405" i="2"/>
  <c r="T413" i="2"/>
  <c r="J413" i="2" s="1"/>
  <c r="U409" i="2"/>
  <c r="K413" i="2"/>
  <c r="W408" i="2"/>
  <c r="W270" i="2" s="1"/>
  <c r="Z392" i="2"/>
  <c r="T397" i="2"/>
  <c r="Y399" i="2"/>
  <c r="T403" i="2"/>
  <c r="O408" i="2"/>
  <c r="Y394" i="2"/>
  <c r="Y406" i="2"/>
  <c r="K406" i="2"/>
  <c r="O409" i="2"/>
  <c r="N413" i="2"/>
  <c r="N422" i="2"/>
  <c r="N420" i="2" s="1"/>
  <c r="Y411" i="2"/>
  <c r="Z409" i="2"/>
  <c r="O418" i="2"/>
  <c r="P416" i="2"/>
  <c r="L423" i="2"/>
  <c r="V421" i="2"/>
  <c r="V419" i="2" s="1"/>
  <c r="AA420" i="2"/>
  <c r="AA418" i="2" s="1"/>
  <c r="T426" i="2"/>
  <c r="Y430" i="2"/>
  <c r="K407" i="2"/>
  <c r="T411" i="2"/>
  <c r="T412" i="2"/>
  <c r="Y427" i="2"/>
  <c r="Y407" i="2"/>
  <c r="M426" i="2"/>
  <c r="W420" i="2"/>
  <c r="W418" i="2" s="1"/>
  <c r="K428" i="2"/>
  <c r="L425" i="2"/>
  <c r="L428" i="2"/>
  <c r="K411" i="2"/>
  <c r="T430" i="2"/>
  <c r="T407" i="2"/>
  <c r="L429" i="2"/>
  <c r="O420" i="2"/>
  <c r="M424" i="2"/>
  <c r="M430" i="2"/>
  <c r="V420" i="2"/>
  <c r="V418" i="2" s="1"/>
  <c r="T423" i="2"/>
  <c r="T428" i="2"/>
  <c r="K429" i="2"/>
  <c r="T427" i="2"/>
  <c r="T431" i="2"/>
  <c r="K423" i="2"/>
  <c r="K427" i="2"/>
  <c r="K431" i="2"/>
  <c r="O421" i="2"/>
  <c r="T429" i="2"/>
  <c r="E513" i="3" l="1"/>
  <c r="J334" i="2"/>
  <c r="K360" i="2"/>
  <c r="T82" i="2"/>
  <c r="R262" i="2"/>
  <c r="O262" i="2" s="1"/>
  <c r="J55" i="2"/>
  <c r="J221" i="2"/>
  <c r="L185" i="2"/>
  <c r="L41" i="2" s="1"/>
  <c r="D112" i="3"/>
  <c r="D110" i="3" s="1"/>
  <c r="D104" i="3" s="1"/>
  <c r="J360" i="2"/>
  <c r="R278" i="2"/>
  <c r="R276" i="2" s="1"/>
  <c r="R434" i="2" s="1"/>
  <c r="U49" i="2"/>
  <c r="N356" i="2"/>
  <c r="T37" i="2"/>
  <c r="O162" i="2"/>
  <c r="O160" i="2" s="1"/>
  <c r="J94" i="2"/>
  <c r="Y25" i="2"/>
  <c r="I71" i="3"/>
  <c r="O281" i="2"/>
  <c r="X96" i="2"/>
  <c r="X34" i="2" s="1"/>
  <c r="J78" i="2"/>
  <c r="G31" i="3"/>
  <c r="G29" i="3" s="1"/>
  <c r="G23" i="3" s="1"/>
  <c r="W391" i="2"/>
  <c r="W269" i="2" s="1"/>
  <c r="C86" i="3"/>
  <c r="C84" i="3" s="1"/>
  <c r="I113" i="3"/>
  <c r="I111" i="3" s="1"/>
  <c r="I105" i="3" s="1"/>
  <c r="C539" i="3"/>
  <c r="H105" i="3"/>
  <c r="G35" i="3"/>
  <c r="X280" i="2"/>
  <c r="T159" i="2"/>
  <c r="K75" i="2"/>
  <c r="J75" i="2" s="1"/>
  <c r="AB280" i="2"/>
  <c r="AB262" i="2" s="1"/>
  <c r="J71" i="3"/>
  <c r="Y357" i="2"/>
  <c r="X373" i="2"/>
  <c r="O186" i="2"/>
  <c r="J83" i="2"/>
  <c r="N357" i="2"/>
  <c r="C591" i="3"/>
  <c r="J26" i="2"/>
  <c r="V31" i="2"/>
  <c r="C606" i="3"/>
  <c r="J74" i="2"/>
  <c r="J85" i="2"/>
  <c r="I119" i="3"/>
  <c r="L401" i="2"/>
  <c r="J377" i="2"/>
  <c r="M256" i="2"/>
  <c r="J296" i="2"/>
  <c r="I112" i="3"/>
  <c r="I110" i="3" s="1"/>
  <c r="I104" i="3" s="1"/>
  <c r="C564" i="3"/>
  <c r="G153" i="3"/>
  <c r="J430" i="2"/>
  <c r="Y142" i="2"/>
  <c r="T341" i="2"/>
  <c r="J341" i="2" s="1"/>
  <c r="J317" i="2"/>
  <c r="J287" i="2"/>
  <c r="H23" i="3"/>
  <c r="E112" i="3"/>
  <c r="E110" i="3" s="1"/>
  <c r="E104" i="3" s="1"/>
  <c r="C563" i="3"/>
  <c r="N400" i="2"/>
  <c r="K220" i="2"/>
  <c r="Q160" i="2"/>
  <c r="Q38" i="2" s="1"/>
  <c r="O38" i="2" s="1"/>
  <c r="H112" i="3"/>
  <c r="H110" i="3" s="1"/>
  <c r="H104" i="3" s="1"/>
  <c r="C526" i="3"/>
  <c r="C524" i="3" s="1"/>
  <c r="C522" i="3" s="1"/>
  <c r="AB326" i="2"/>
  <c r="J108" i="2"/>
  <c r="S30" i="2"/>
  <c r="S28" i="2" s="1"/>
  <c r="C604" i="3"/>
  <c r="C602" i="3" s="1"/>
  <c r="C134" i="3"/>
  <c r="C132" i="3" s="1"/>
  <c r="AA13" i="2"/>
  <c r="I30" i="3"/>
  <c r="I28" i="3" s="1"/>
  <c r="C188" i="3"/>
  <c r="C186" i="3" s="1"/>
  <c r="C514" i="3"/>
  <c r="G30" i="3"/>
  <c r="G28" i="3" s="1"/>
  <c r="G22" i="3" s="1"/>
  <c r="J428" i="2"/>
  <c r="N373" i="2"/>
  <c r="O327" i="2"/>
  <c r="T122" i="2"/>
  <c r="N283" i="2"/>
  <c r="AC391" i="2"/>
  <c r="AC269" i="2" s="1"/>
  <c r="Y16" i="2"/>
  <c r="AC47" i="2"/>
  <c r="I22" i="3"/>
  <c r="C38" i="3"/>
  <c r="F188" i="3"/>
  <c r="F186" i="3" s="1"/>
  <c r="F114" i="3"/>
  <c r="J426" i="2"/>
  <c r="J406" i="2"/>
  <c r="M392" i="2"/>
  <c r="L420" i="2"/>
  <c r="L418" i="2" s="1"/>
  <c r="L416" i="2" s="1"/>
  <c r="L272" i="2" s="1"/>
  <c r="J411" i="2"/>
  <c r="N409" i="2"/>
  <c r="N271" i="2" s="1"/>
  <c r="J394" i="2"/>
  <c r="AA391" i="2"/>
  <c r="AA269" i="2" s="1"/>
  <c r="J345" i="2"/>
  <c r="J289" i="2"/>
  <c r="L328" i="2"/>
  <c r="AC280" i="2"/>
  <c r="M252" i="2"/>
  <c r="AB252" i="2"/>
  <c r="AB244" i="2" s="1"/>
  <c r="J158" i="2"/>
  <c r="J154" i="2" s="1"/>
  <c r="J320" i="2"/>
  <c r="X329" i="2"/>
  <c r="X327" i="2" s="1"/>
  <c r="X265" i="2" s="1"/>
  <c r="R260" i="2"/>
  <c r="R258" i="2" s="1"/>
  <c r="N257" i="2"/>
  <c r="T76" i="2"/>
  <c r="J304" i="2"/>
  <c r="AC281" i="2"/>
  <c r="AC263" i="2" s="1"/>
  <c r="AC261" i="2" s="1"/>
  <c r="X47" i="2"/>
  <c r="X45" i="2" s="1"/>
  <c r="X203" i="2" s="1"/>
  <c r="X201" i="2" s="1"/>
  <c r="Y266" i="2"/>
  <c r="M313" i="2"/>
  <c r="AC390" i="2"/>
  <c r="AC268" i="2" s="1"/>
  <c r="L313" i="2"/>
  <c r="L373" i="2"/>
  <c r="O44" i="2"/>
  <c r="T400" i="2"/>
  <c r="T390" i="2" s="1"/>
  <c r="D72" i="3"/>
  <c r="C72" i="3" s="1"/>
  <c r="J30" i="3"/>
  <c r="J28" i="3" s="1"/>
  <c r="J22" i="3" s="1"/>
  <c r="H22" i="3"/>
  <c r="C53" i="3"/>
  <c r="C51" i="3" s="1"/>
  <c r="C538" i="3"/>
  <c r="C189" i="3"/>
  <c r="C187" i="3" s="1"/>
  <c r="I31" i="3"/>
  <c r="I29" i="3" s="1"/>
  <c r="C607" i="3"/>
  <c r="C605" i="3" s="1"/>
  <c r="C603" i="3" s="1"/>
  <c r="W186" i="2"/>
  <c r="W42" i="2" s="1"/>
  <c r="W44" i="2"/>
  <c r="F523" i="3"/>
  <c r="F521" i="3" s="1"/>
  <c r="F513" i="3" s="1"/>
  <c r="C513" i="3" s="1"/>
  <c r="C525" i="3"/>
  <c r="C523" i="3" s="1"/>
  <c r="C521" i="3" s="1"/>
  <c r="C71" i="3"/>
  <c r="X244" i="2"/>
  <c r="T384" i="2"/>
  <c r="J124" i="2"/>
  <c r="S260" i="2"/>
  <c r="S258" i="2" s="1"/>
  <c r="L372" i="2"/>
  <c r="J31" i="3"/>
  <c r="J29" i="3" s="1"/>
  <c r="J23" i="3" s="1"/>
  <c r="C119" i="3"/>
  <c r="C39" i="3"/>
  <c r="N418" i="2"/>
  <c r="N274" i="2" s="1"/>
  <c r="M384" i="2"/>
  <c r="M266" i="2" s="1"/>
  <c r="J266" i="2" s="1"/>
  <c r="J290" i="2"/>
  <c r="L409" i="2"/>
  <c r="L271" i="2" s="1"/>
  <c r="J415" i="2"/>
  <c r="AA244" i="2"/>
  <c r="T141" i="2"/>
  <c r="T312" i="2"/>
  <c r="J339" i="2"/>
  <c r="J310" i="2"/>
  <c r="J150" i="2"/>
  <c r="J349" i="2"/>
  <c r="J324" i="2"/>
  <c r="T220" i="2"/>
  <c r="Y126" i="2"/>
  <c r="W13" i="2"/>
  <c r="AA281" i="2"/>
  <c r="AB281" i="2"/>
  <c r="X29" i="2"/>
  <c r="X27" i="2" s="1"/>
  <c r="AB13" i="2"/>
  <c r="S48" i="2"/>
  <c r="S46" i="2" s="1"/>
  <c r="S204" i="2" s="1"/>
  <c r="J129" i="2"/>
  <c r="L400" i="2"/>
  <c r="S278" i="2"/>
  <c r="S276" i="2" s="1"/>
  <c r="S434" i="2" s="1"/>
  <c r="S432" i="2" s="1"/>
  <c r="N408" i="2"/>
  <c r="N270" i="2" s="1"/>
  <c r="M282" i="2"/>
  <c r="H647" i="3"/>
  <c r="H641" i="3" s="1"/>
  <c r="E152" i="3"/>
  <c r="D32" i="3"/>
  <c r="D30" i="3" s="1"/>
  <c r="J112" i="3"/>
  <c r="J110" i="3" s="1"/>
  <c r="J104" i="3" s="1"/>
  <c r="C109" i="3"/>
  <c r="C107" i="3" s="1"/>
  <c r="I120" i="3"/>
  <c r="C120" i="3" s="1"/>
  <c r="F189" i="3"/>
  <c r="F187" i="3" s="1"/>
  <c r="F153" i="3" s="1"/>
  <c r="C153" i="3" s="1"/>
  <c r="F115" i="3"/>
  <c r="C577" i="3"/>
  <c r="C575" i="3" s="1"/>
  <c r="C573" i="3" s="1"/>
  <c r="D31" i="3"/>
  <c r="E24" i="3"/>
  <c r="C116" i="3"/>
  <c r="E34" i="3"/>
  <c r="E25" i="3"/>
  <c r="C27" i="3"/>
  <c r="D641" i="3"/>
  <c r="H646" i="3"/>
  <c r="I23" i="3"/>
  <c r="E113" i="3"/>
  <c r="E111" i="3" s="1"/>
  <c r="E105" i="3" s="1"/>
  <c r="E33" i="3"/>
  <c r="F108" i="3"/>
  <c r="F154" i="3"/>
  <c r="C117" i="3"/>
  <c r="E35" i="3"/>
  <c r="C35" i="3" s="1"/>
  <c r="H642" i="3"/>
  <c r="D640" i="3"/>
  <c r="J405" i="2"/>
  <c r="J343" i="2"/>
  <c r="Z50" i="2"/>
  <c r="J368" i="2"/>
  <c r="M328" i="2"/>
  <c r="Y187" i="2"/>
  <c r="J133" i="2"/>
  <c r="L49" i="2"/>
  <c r="L31" i="2" s="1"/>
  <c r="Y267" i="2"/>
  <c r="AB390" i="2"/>
  <c r="AB268" i="2" s="1"/>
  <c r="U95" i="2"/>
  <c r="V29" i="2"/>
  <c r="V27" i="2" s="1"/>
  <c r="AC326" i="2"/>
  <c r="AC264" i="2" s="1"/>
  <c r="J358" i="2"/>
  <c r="Z283" i="2"/>
  <c r="Y283" i="2" s="1"/>
  <c r="AC31" i="2"/>
  <c r="AC29" i="2" s="1"/>
  <c r="T392" i="2"/>
  <c r="S29" i="2"/>
  <c r="S27" i="2" s="1"/>
  <c r="O43" i="2"/>
  <c r="T347" i="2"/>
  <c r="J347" i="2" s="1"/>
  <c r="J130" i="2"/>
  <c r="M52" i="2"/>
  <c r="M50" i="2" s="1"/>
  <c r="V283" i="2"/>
  <c r="P47" i="2"/>
  <c r="O33" i="2"/>
  <c r="J402" i="2"/>
  <c r="M372" i="2"/>
  <c r="K414" i="2"/>
  <c r="J107" i="2"/>
  <c r="J340" i="2"/>
  <c r="Z15" i="2"/>
  <c r="O50" i="2"/>
  <c r="K358" i="2"/>
  <c r="J379" i="2"/>
  <c r="J396" i="2"/>
  <c r="J332" i="2"/>
  <c r="J295" i="2"/>
  <c r="L309" i="2"/>
  <c r="L307" i="2" s="1"/>
  <c r="M421" i="2"/>
  <c r="M419" i="2" s="1"/>
  <c r="W326" i="2"/>
  <c r="J342" i="2"/>
  <c r="L355" i="2"/>
  <c r="L353" i="2" s="1"/>
  <c r="K392" i="2"/>
  <c r="K350" i="2"/>
  <c r="N328" i="2"/>
  <c r="AA326" i="2"/>
  <c r="AA264" i="2" s="1"/>
  <c r="J414" i="2"/>
  <c r="W244" i="2"/>
  <c r="J383" i="2"/>
  <c r="J424" i="2"/>
  <c r="Y309" i="2"/>
  <c r="J113" i="2"/>
  <c r="Y37" i="2"/>
  <c r="J127" i="2"/>
  <c r="J423" i="2"/>
  <c r="L393" i="2"/>
  <c r="T97" i="2"/>
  <c r="K81" i="2"/>
  <c r="J298" i="2"/>
  <c r="N312" i="2"/>
  <c r="N392" i="2"/>
  <c r="N390" i="2" s="1"/>
  <c r="N268" i="2" s="1"/>
  <c r="J412" i="2"/>
  <c r="K348" i="2"/>
  <c r="J134" i="2"/>
  <c r="K190" i="2"/>
  <c r="V326" i="2"/>
  <c r="V264" i="2" s="1"/>
  <c r="J161" i="2"/>
  <c r="T348" i="2"/>
  <c r="J348" i="2" s="1"/>
  <c r="O49" i="2"/>
  <c r="V96" i="2"/>
  <c r="V34" i="2" s="1"/>
  <c r="V30" i="2" s="1"/>
  <c r="V28" i="2" s="1"/>
  <c r="K76" i="2"/>
  <c r="T38" i="2"/>
  <c r="J323" i="2"/>
  <c r="J128" i="2"/>
  <c r="J73" i="2"/>
  <c r="O34" i="2"/>
  <c r="W280" i="2"/>
  <c r="W262" i="2" s="1"/>
  <c r="L282" i="2"/>
  <c r="J427" i="2"/>
  <c r="W390" i="2"/>
  <c r="W268" i="2" s="1"/>
  <c r="J183" i="2"/>
  <c r="AC327" i="2"/>
  <c r="AC265" i="2" s="1"/>
  <c r="N313" i="2"/>
  <c r="AB96" i="2"/>
  <c r="AB34" i="2" s="1"/>
  <c r="AB30" i="2" s="1"/>
  <c r="AB28" i="2" s="1"/>
  <c r="J362" i="2"/>
  <c r="Z185" i="2"/>
  <c r="Z41" i="2" s="1"/>
  <c r="Z43" i="2"/>
  <c r="J407" i="2"/>
  <c r="W313" i="2"/>
  <c r="T266" i="2"/>
  <c r="T325" i="2"/>
  <c r="J325" i="2" s="1"/>
  <c r="J330" i="2"/>
  <c r="Y82" i="2"/>
  <c r="X417" i="2"/>
  <c r="X273" i="2" s="1"/>
  <c r="X275" i="2"/>
  <c r="J93" i="2"/>
  <c r="L385" i="2"/>
  <c r="L267" i="2" s="1"/>
  <c r="J363" i="2"/>
  <c r="M312" i="2"/>
  <c r="K408" i="2"/>
  <c r="J408" i="2" s="1"/>
  <c r="K362" i="2"/>
  <c r="J53" i="2"/>
  <c r="J80" i="2"/>
  <c r="J77" i="2"/>
  <c r="J66" i="2"/>
  <c r="S47" i="2"/>
  <c r="S45" i="2" s="1"/>
  <c r="S203" i="2" s="1"/>
  <c r="S201" i="2" s="1"/>
  <c r="AB186" i="2"/>
  <c r="AB42" i="2" s="1"/>
  <c r="AB44" i="2"/>
  <c r="Y410" i="2"/>
  <c r="J410" i="2" s="1"/>
  <c r="N372" i="2"/>
  <c r="J303" i="2"/>
  <c r="V244" i="2"/>
  <c r="AA47" i="2"/>
  <c r="AA45" i="2" s="1"/>
  <c r="AA203" i="2" s="1"/>
  <c r="AA201" i="2" s="1"/>
  <c r="AC185" i="2"/>
  <c r="AC41" i="2" s="1"/>
  <c r="AC27" i="2" s="1"/>
  <c r="AC43" i="2"/>
  <c r="J353" i="2"/>
  <c r="K329" i="2"/>
  <c r="J309" i="2"/>
  <c r="J67" i="2"/>
  <c r="Y385" i="2"/>
  <c r="L390" i="2"/>
  <c r="L268" i="2" s="1"/>
  <c r="J293" i="2"/>
  <c r="L306" i="2"/>
  <c r="AA50" i="2"/>
  <c r="AA32" i="2" s="1"/>
  <c r="V281" i="2"/>
  <c r="J90" i="2"/>
  <c r="J399" i="2"/>
  <c r="J376" i="2"/>
  <c r="J291" i="2"/>
  <c r="K356" i="2"/>
  <c r="J356" i="2" s="1"/>
  <c r="AC247" i="2"/>
  <c r="AC246" i="2" s="1"/>
  <c r="AC245" i="2" s="1"/>
  <c r="AC244" i="2" s="1"/>
  <c r="Y76" i="2"/>
  <c r="T153" i="2"/>
  <c r="T297" i="2"/>
  <c r="J297" i="2" s="1"/>
  <c r="O95" i="2"/>
  <c r="Y355" i="2"/>
  <c r="J355" i="2" s="1"/>
  <c r="J351" i="2"/>
  <c r="AA280" i="2"/>
  <c r="AA262" i="2" s="1"/>
  <c r="J184" i="2"/>
  <c r="J193" i="2"/>
  <c r="J331" i="2"/>
  <c r="J316" i="2"/>
  <c r="J84" i="2"/>
  <c r="J69" i="2"/>
  <c r="J54" i="2"/>
  <c r="L21" i="2"/>
  <c r="L13" i="2" s="1"/>
  <c r="L312" i="2"/>
  <c r="M410" i="2"/>
  <c r="M408" i="2" s="1"/>
  <c r="M270" i="2" s="1"/>
  <c r="M409" i="2"/>
  <c r="M271" i="2" s="1"/>
  <c r="K316" i="2"/>
  <c r="K312" i="2" s="1"/>
  <c r="J86" i="2"/>
  <c r="J123" i="2"/>
  <c r="AC50" i="2"/>
  <c r="V48" i="2"/>
  <c r="V46" i="2" s="1"/>
  <c r="V204" i="2" s="1"/>
  <c r="V202" i="2" s="1"/>
  <c r="U281" i="2"/>
  <c r="T283" i="2"/>
  <c r="AC262" i="2"/>
  <c r="AC260" i="2" s="1"/>
  <c r="K188" i="2"/>
  <c r="K170" i="2"/>
  <c r="K160" i="2" s="1"/>
  <c r="P252" i="2"/>
  <c r="Z32" i="2"/>
  <c r="J81" i="2"/>
  <c r="L76" i="2"/>
  <c r="L274" i="2"/>
  <c r="O416" i="2"/>
  <c r="P272" i="2"/>
  <c r="O272" i="2" s="1"/>
  <c r="J387" i="2"/>
  <c r="V262" i="2"/>
  <c r="R263" i="2"/>
  <c r="R279" i="2"/>
  <c r="R277" i="2" s="1"/>
  <c r="R435" i="2" s="1"/>
  <c r="AB417" i="2"/>
  <c r="AB273" i="2" s="1"/>
  <c r="AB275" i="2"/>
  <c r="Y373" i="2"/>
  <c r="L255" i="2"/>
  <c r="T408" i="2"/>
  <c r="U270" i="2"/>
  <c r="T270" i="2" s="1"/>
  <c r="L391" i="2"/>
  <c r="L269" i="2" s="1"/>
  <c r="Y219" i="2"/>
  <c r="Z218" i="2"/>
  <c r="K153" i="2"/>
  <c r="K206" i="2"/>
  <c r="L122" i="2"/>
  <c r="X326" i="2"/>
  <c r="X264" i="2" s="1"/>
  <c r="K189" i="2"/>
  <c r="N247" i="2"/>
  <c r="N246" i="2" s="1"/>
  <c r="N245" i="2" s="1"/>
  <c r="M190" i="2"/>
  <c r="K328" i="2"/>
  <c r="Y313" i="2"/>
  <c r="AB185" i="2"/>
  <c r="AB41" i="2" s="1"/>
  <c r="AB43" i="2"/>
  <c r="AC186" i="2"/>
  <c r="AC42" i="2" s="1"/>
  <c r="AC44" i="2"/>
  <c r="J359" i="2"/>
  <c r="AB327" i="2"/>
  <c r="AB265" i="2" s="1"/>
  <c r="N52" i="2"/>
  <c r="W29" i="2"/>
  <c r="W27" i="2" s="1"/>
  <c r="AA263" i="2"/>
  <c r="M98" i="2"/>
  <c r="J65" i="2"/>
  <c r="N95" i="2"/>
  <c r="M283" i="2"/>
  <c r="M281" i="2" s="1"/>
  <c r="K125" i="2"/>
  <c r="O96" i="2"/>
  <c r="J299" i="2"/>
  <c r="K298" i="2"/>
  <c r="U50" i="2"/>
  <c r="T52" i="2"/>
  <c r="J22" i="2"/>
  <c r="S24" i="2"/>
  <c r="N25" i="2"/>
  <c r="J17" i="2"/>
  <c r="O32" i="2"/>
  <c r="S202" i="2"/>
  <c r="AB29" i="2"/>
  <c r="X262" i="2"/>
  <c r="X260" i="2" s="1"/>
  <c r="X258" i="2" s="1"/>
  <c r="X278" i="2"/>
  <c r="X276" i="2" s="1"/>
  <c r="X434" i="2" s="1"/>
  <c r="K354" i="2"/>
  <c r="K352" i="2" s="1"/>
  <c r="J352" i="2" s="1"/>
  <c r="T354" i="2"/>
  <c r="J354" i="2" s="1"/>
  <c r="V263" i="2"/>
  <c r="K15" i="2"/>
  <c r="K409" i="2"/>
  <c r="T409" i="2"/>
  <c r="U271" i="2"/>
  <c r="T271" i="2" s="1"/>
  <c r="T401" i="2"/>
  <c r="T391" i="2" s="1"/>
  <c r="O419" i="2"/>
  <c r="Q417" i="2"/>
  <c r="Q275" i="2"/>
  <c r="O275" i="2" s="1"/>
  <c r="M400" i="2"/>
  <c r="M417" i="2"/>
  <c r="M273" i="2" s="1"/>
  <c r="M275" i="2"/>
  <c r="Q279" i="2"/>
  <c r="Q269" i="2"/>
  <c r="Q261" i="2" s="1"/>
  <c r="T178" i="2"/>
  <c r="U40" i="2"/>
  <c r="T40" i="2" s="1"/>
  <c r="M154" i="2"/>
  <c r="K401" i="2"/>
  <c r="L159" i="2"/>
  <c r="Y170" i="2"/>
  <c r="Y160" i="2" s="1"/>
  <c r="Z160" i="2"/>
  <c r="Z38" i="2" s="1"/>
  <c r="Y38" i="2" s="1"/>
  <c r="Z352" i="2"/>
  <c r="Y352" i="2" s="1"/>
  <c r="Y121" i="2"/>
  <c r="Y431" i="2"/>
  <c r="J431" i="2" s="1"/>
  <c r="Z400" i="2"/>
  <c r="Y400" i="2" s="1"/>
  <c r="Y404" i="2"/>
  <c r="K404" i="2"/>
  <c r="K400" i="2" s="1"/>
  <c r="J318" i="2"/>
  <c r="K141" i="2"/>
  <c r="K219" i="2"/>
  <c r="Y371" i="2"/>
  <c r="J371" i="2" s="1"/>
  <c r="U188" i="2"/>
  <c r="T190" i="2"/>
  <c r="AB420" i="2"/>
  <c r="AB418" i="2" s="1"/>
  <c r="M422" i="2"/>
  <c r="M420" i="2" s="1"/>
  <c r="M418" i="2" s="1"/>
  <c r="J152" i="2"/>
  <c r="Y97" i="2"/>
  <c r="Z95" i="2"/>
  <c r="N190" i="2"/>
  <c r="K378" i="2"/>
  <c r="Y378" i="2"/>
  <c r="J378" i="2" s="1"/>
  <c r="K389" i="2"/>
  <c r="K385" i="2" s="1"/>
  <c r="K267" i="2" s="1"/>
  <c r="J267" i="2" s="1"/>
  <c r="T389" i="2"/>
  <c r="J389" i="2" s="1"/>
  <c r="U385" i="2"/>
  <c r="K51" i="2"/>
  <c r="W281" i="2"/>
  <c r="K25" i="2"/>
  <c r="J25" i="2" s="1"/>
  <c r="O25" i="2"/>
  <c r="P24" i="2"/>
  <c r="W50" i="2"/>
  <c r="Z356" i="2"/>
  <c r="Y356" i="2" s="1"/>
  <c r="Y125" i="2"/>
  <c r="Y314" i="2"/>
  <c r="J314" i="2" s="1"/>
  <c r="Z312" i="2"/>
  <c r="Y312" i="2" s="1"/>
  <c r="P29" i="2"/>
  <c r="M16" i="2"/>
  <c r="M15" i="2" s="1"/>
  <c r="M14" i="2" s="1"/>
  <c r="M13" i="2" s="1"/>
  <c r="T15" i="2"/>
  <c r="U14" i="2"/>
  <c r="AB47" i="2"/>
  <c r="N189" i="2"/>
  <c r="Z329" i="2"/>
  <c r="Y333" i="2"/>
  <c r="J333" i="2" s="1"/>
  <c r="Y409" i="2"/>
  <c r="Z271" i="2"/>
  <c r="Y271" i="2" s="1"/>
  <c r="K250" i="2"/>
  <c r="J250" i="2" s="1"/>
  <c r="J251" i="2"/>
  <c r="L190" i="2"/>
  <c r="K177" i="2"/>
  <c r="J212" i="2"/>
  <c r="N211" i="2"/>
  <c r="M38" i="2"/>
  <c r="K248" i="2"/>
  <c r="J249" i="2"/>
  <c r="J169" i="2"/>
  <c r="J159" i="2" s="1"/>
  <c r="K159" i="2"/>
  <c r="L36" i="2"/>
  <c r="Y328" i="2"/>
  <c r="Y190" i="2"/>
  <c r="Z188" i="2"/>
  <c r="K126" i="2"/>
  <c r="K97" i="2"/>
  <c r="M159" i="2"/>
  <c r="AA329" i="2"/>
  <c r="AA327" i="2" s="1"/>
  <c r="AA265" i="2" s="1"/>
  <c r="L82" i="2"/>
  <c r="M97" i="2"/>
  <c r="K305" i="2"/>
  <c r="K283" i="2" s="1"/>
  <c r="T305" i="2"/>
  <c r="J305" i="2" s="1"/>
  <c r="L95" i="2"/>
  <c r="N76" i="2"/>
  <c r="J143" i="2"/>
  <c r="W218" i="2"/>
  <c r="T219" i="2"/>
  <c r="Y51" i="2"/>
  <c r="Z49" i="2"/>
  <c r="K311" i="2"/>
  <c r="K307" i="2" s="1"/>
  <c r="T311" i="2"/>
  <c r="J311" i="2" s="1"/>
  <c r="K52" i="2"/>
  <c r="P45" i="2"/>
  <c r="T16" i="2"/>
  <c r="Y392" i="2"/>
  <c r="J404" i="2"/>
  <c r="K256" i="2"/>
  <c r="U255" i="2"/>
  <c r="T256" i="2"/>
  <c r="M391" i="2"/>
  <c r="M269" i="2" s="1"/>
  <c r="Y408" i="2"/>
  <c r="Z270" i="2"/>
  <c r="Y270" i="2" s="1"/>
  <c r="K393" i="2"/>
  <c r="Y401" i="2"/>
  <c r="Y391" i="2" s="1"/>
  <c r="Z391" i="2"/>
  <c r="T248" i="2"/>
  <c r="U247" i="2"/>
  <c r="W417" i="2"/>
  <c r="W273" i="2" s="1"/>
  <c r="W275" i="2"/>
  <c r="J374" i="2"/>
  <c r="T98" i="2"/>
  <c r="U96" i="2"/>
  <c r="T187" i="2"/>
  <c r="U185" i="2"/>
  <c r="U43" i="2"/>
  <c r="T43" i="2" s="1"/>
  <c r="T380" i="2"/>
  <c r="J380" i="2" s="1"/>
  <c r="K380" i="2"/>
  <c r="W264" i="2"/>
  <c r="M178" i="2"/>
  <c r="W373" i="2"/>
  <c r="M381" i="2"/>
  <c r="M373" i="2" s="1"/>
  <c r="J79" i="2"/>
  <c r="N423" i="2"/>
  <c r="N421" i="2" s="1"/>
  <c r="N419" i="2" s="1"/>
  <c r="AC421" i="2"/>
  <c r="AC419" i="2" s="1"/>
  <c r="N82" i="2"/>
  <c r="M220" i="2"/>
  <c r="J257" i="2"/>
  <c r="R432" i="2"/>
  <c r="J284" i="2"/>
  <c r="M331" i="2"/>
  <c r="M329" i="2" s="1"/>
  <c r="W329" i="2"/>
  <c r="S255" i="2"/>
  <c r="N255" i="2" s="1"/>
  <c r="N252" i="2" s="1"/>
  <c r="N256" i="2"/>
  <c r="U352" i="2"/>
  <c r="T352" i="2" s="1"/>
  <c r="T121" i="2"/>
  <c r="K98" i="2"/>
  <c r="T300" i="2"/>
  <c r="J300" i="2" s="1"/>
  <c r="K300" i="2"/>
  <c r="K304" i="2"/>
  <c r="L98" i="2"/>
  <c r="Z247" i="2"/>
  <c r="Y248" i="2"/>
  <c r="W47" i="2"/>
  <c r="W45" i="2" s="1"/>
  <c r="W203" i="2" s="1"/>
  <c r="W201" i="2" s="1"/>
  <c r="P28" i="2"/>
  <c r="AA416" i="2"/>
  <c r="AA272" i="2" s="1"/>
  <c r="AA274" i="2"/>
  <c r="J403" i="2"/>
  <c r="Q390" i="2"/>
  <c r="O392" i="2"/>
  <c r="O390" i="2" s="1"/>
  <c r="M247" i="2"/>
  <c r="M246" i="2" s="1"/>
  <c r="M245" i="2" s="1"/>
  <c r="Z418" i="2"/>
  <c r="Y40" i="2"/>
  <c r="L162" i="2"/>
  <c r="Q37" i="2"/>
  <c r="Q47" i="2"/>
  <c r="Q45" i="2" s="1"/>
  <c r="Q203" i="2" s="1"/>
  <c r="V327" i="2"/>
  <c r="V265" i="2" s="1"/>
  <c r="N159" i="2"/>
  <c r="M177" i="2"/>
  <c r="Y429" i="2"/>
  <c r="J429" i="2" s="1"/>
  <c r="L178" i="2"/>
  <c r="T425" i="2"/>
  <c r="J425" i="2" s="1"/>
  <c r="U421" i="2"/>
  <c r="K425" i="2"/>
  <c r="K421" i="2" s="1"/>
  <c r="K381" i="2"/>
  <c r="T381" i="2"/>
  <c r="J381" i="2" s="1"/>
  <c r="K371" i="2"/>
  <c r="J344" i="2"/>
  <c r="N98" i="2"/>
  <c r="Y189" i="2"/>
  <c r="J144" i="2"/>
  <c r="T142" i="2"/>
  <c r="T313" i="2"/>
  <c r="T370" i="2"/>
  <c r="J370" i="2" s="1"/>
  <c r="K370" i="2"/>
  <c r="U357" i="2"/>
  <c r="T126" i="2"/>
  <c r="Y122" i="2"/>
  <c r="Y256" i="2"/>
  <c r="Z255" i="2"/>
  <c r="X307" i="2"/>
  <c r="X281" i="2" s="1"/>
  <c r="N309" i="2"/>
  <c r="N307" i="2" s="1"/>
  <c r="L207" i="2"/>
  <c r="J207" i="2" s="1"/>
  <c r="J208" i="2"/>
  <c r="X48" i="2"/>
  <c r="X46" i="2" s="1"/>
  <c r="X204" i="2" s="1"/>
  <c r="X202" i="2" s="1"/>
  <c r="X32" i="2"/>
  <c r="X30" i="2" s="1"/>
  <c r="X28" i="2" s="1"/>
  <c r="J149" i="2"/>
  <c r="K121" i="2"/>
  <c r="AA96" i="2"/>
  <c r="AA34" i="2" s="1"/>
  <c r="U24" i="2"/>
  <c r="T25" i="2"/>
  <c r="R30" i="2"/>
  <c r="R28" i="2" s="1"/>
  <c r="Q253" i="2"/>
  <c r="Q252" i="2" s="1"/>
  <c r="Q244" i="2" s="1"/>
  <c r="L254" i="2"/>
  <c r="L253" i="2" s="1"/>
  <c r="L252" i="2" s="1"/>
  <c r="O22" i="2"/>
  <c r="Y52" i="2"/>
  <c r="J397" i="2"/>
  <c r="W416" i="2"/>
  <c r="W272" i="2" s="1"/>
  <c r="W274" i="2"/>
  <c r="V417" i="2"/>
  <c r="V273" i="2" s="1"/>
  <c r="V275" i="2"/>
  <c r="M390" i="2"/>
  <c r="M268" i="2" s="1"/>
  <c r="T268" i="2"/>
  <c r="J367" i="2"/>
  <c r="L326" i="2"/>
  <c r="L264" i="2" s="1"/>
  <c r="L247" i="2"/>
  <c r="L246" i="2" s="1"/>
  <c r="L245" i="2" s="1"/>
  <c r="L219" i="2"/>
  <c r="K420" i="2"/>
  <c r="P391" i="2"/>
  <c r="J388" i="2"/>
  <c r="AB210" i="2"/>
  <c r="Y211" i="2"/>
  <c r="K178" i="2"/>
  <c r="U372" i="2"/>
  <c r="Y307" i="2"/>
  <c r="AB278" i="2"/>
  <c r="AB264" i="2"/>
  <c r="AB260" i="2" s="1"/>
  <c r="Y178" i="2"/>
  <c r="K82" i="2"/>
  <c r="M189" i="2"/>
  <c r="K142" i="2"/>
  <c r="K357" i="2"/>
  <c r="J357" i="2" s="1"/>
  <c r="N162" i="2"/>
  <c r="N122" i="2"/>
  <c r="N329" i="2"/>
  <c r="N327" i="2" s="1"/>
  <c r="N265" i="2" s="1"/>
  <c r="Y353" i="2"/>
  <c r="K154" i="2"/>
  <c r="T282" i="2"/>
  <c r="T95" i="2"/>
  <c r="U33" i="2"/>
  <c r="T33" i="2" s="1"/>
  <c r="Y301" i="2"/>
  <c r="J301" i="2" s="1"/>
  <c r="L52" i="2"/>
  <c r="Y308" i="2"/>
  <c r="Z306" i="2"/>
  <c r="Y306" i="2" s="1"/>
  <c r="Y98" i="2"/>
  <c r="Z96" i="2"/>
  <c r="U306" i="2"/>
  <c r="T306" i="2" s="1"/>
  <c r="K308" i="2"/>
  <c r="K306" i="2" s="1"/>
  <c r="T308" i="2"/>
  <c r="R47" i="2"/>
  <c r="R45" i="2" s="1"/>
  <c r="R203" i="2" s="1"/>
  <c r="R31" i="2"/>
  <c r="R29" i="2" s="1"/>
  <c r="R27" i="2" s="1"/>
  <c r="K365" i="2"/>
  <c r="T365" i="2"/>
  <c r="J365" i="2" s="1"/>
  <c r="J114" i="2"/>
  <c r="R48" i="2"/>
  <c r="R46" i="2" s="1"/>
  <c r="R204" i="2" s="1"/>
  <c r="M49" i="2"/>
  <c r="J23" i="2"/>
  <c r="V416" i="2"/>
  <c r="V272" i="2" s="1"/>
  <c r="V274" i="2"/>
  <c r="L421" i="2"/>
  <c r="L419" i="2" s="1"/>
  <c r="Y384" i="2"/>
  <c r="U391" i="2"/>
  <c r="J386" i="2"/>
  <c r="J384" i="2" s="1"/>
  <c r="T307" i="2"/>
  <c r="O326" i="2"/>
  <c r="P264" i="2"/>
  <c r="P278" i="2"/>
  <c r="N282" i="2"/>
  <c r="N280" i="2" s="1"/>
  <c r="AA186" i="2"/>
  <c r="AA42" i="2" s="1"/>
  <c r="AA44" i="2"/>
  <c r="T177" i="2"/>
  <c r="U39" i="2"/>
  <c r="T39" i="2" s="1"/>
  <c r="Z419" i="2"/>
  <c r="J395" i="2"/>
  <c r="Y177" i="2"/>
  <c r="Z39" i="2"/>
  <c r="Y39" i="2" s="1"/>
  <c r="T420" i="2"/>
  <c r="U418" i="2"/>
  <c r="AC416" i="2"/>
  <c r="AC272" i="2" s="1"/>
  <c r="AC274" i="2"/>
  <c r="L39" i="2"/>
  <c r="Y335" i="2"/>
  <c r="J335" i="2" s="1"/>
  <c r="L329" i="2"/>
  <c r="L327" i="2" s="1"/>
  <c r="L265" i="2" s="1"/>
  <c r="N35" i="2"/>
  <c r="M326" i="2"/>
  <c r="M264" i="2" s="1"/>
  <c r="L142" i="2"/>
  <c r="T328" i="2"/>
  <c r="T375" i="2"/>
  <c r="U373" i="2"/>
  <c r="K375" i="2"/>
  <c r="J361" i="2"/>
  <c r="S393" i="2"/>
  <c r="S391" i="2" s="1"/>
  <c r="N395" i="2"/>
  <c r="N393" i="2" s="1"/>
  <c r="N391" i="2" s="1"/>
  <c r="N269" i="2" s="1"/>
  <c r="J153" i="2"/>
  <c r="K253" i="2"/>
  <c r="T36" i="2"/>
  <c r="T49" i="2"/>
  <c r="U47" i="2"/>
  <c r="U31" i="2"/>
  <c r="L283" i="2"/>
  <c r="P204" i="2"/>
  <c r="K321" i="2"/>
  <c r="K313" i="2" s="1"/>
  <c r="T321" i="2"/>
  <c r="J321" i="2" s="1"/>
  <c r="Z282" i="2"/>
  <c r="AA29" i="2"/>
  <c r="AA27" i="2" s="1"/>
  <c r="Z14" i="2"/>
  <c r="Y15" i="2"/>
  <c r="Z21" i="2"/>
  <c r="Y21" i="2" s="1"/>
  <c r="N49" i="2"/>
  <c r="W260" i="2" l="1"/>
  <c r="AC279" i="2"/>
  <c r="K372" i="2"/>
  <c r="Q30" i="2"/>
  <c r="Q28" i="2" s="1"/>
  <c r="Y50" i="2"/>
  <c r="Q48" i="2"/>
  <c r="O48" i="2" s="1"/>
  <c r="F152" i="3"/>
  <c r="C152" i="3" s="1"/>
  <c r="J401" i="2"/>
  <c r="AB279" i="2"/>
  <c r="AC278" i="2"/>
  <c r="J392" i="2"/>
  <c r="N326" i="2"/>
  <c r="N264" i="2" s="1"/>
  <c r="Y390" i="2"/>
  <c r="F112" i="3"/>
  <c r="F110" i="3" s="1"/>
  <c r="F32" i="3"/>
  <c r="J254" i="2"/>
  <c r="Y421" i="2"/>
  <c r="AB263" i="2"/>
  <c r="AB261" i="2" s="1"/>
  <c r="W278" i="2"/>
  <c r="N416" i="2"/>
  <c r="N272" i="2" s="1"/>
  <c r="J312" i="2"/>
  <c r="F113" i="3"/>
  <c r="F111" i="3" s="1"/>
  <c r="F105" i="3" s="1"/>
  <c r="C105" i="3" s="1"/>
  <c r="F33" i="3"/>
  <c r="F31" i="3" s="1"/>
  <c r="F29" i="3" s="1"/>
  <c r="F23" i="3" s="1"/>
  <c r="M244" i="2"/>
  <c r="M280" i="2"/>
  <c r="M262" i="2" s="1"/>
  <c r="S252" i="2"/>
  <c r="S244" i="2" s="1"/>
  <c r="Z390" i="2"/>
  <c r="Z268" i="2" s="1"/>
  <c r="Y268" i="2" s="1"/>
  <c r="J400" i="2"/>
  <c r="J390" i="2" s="1"/>
  <c r="C114" i="3"/>
  <c r="C112" i="3" s="1"/>
  <c r="C110" i="3" s="1"/>
  <c r="C115" i="3"/>
  <c r="C113" i="3" s="1"/>
  <c r="C111" i="3" s="1"/>
  <c r="D28" i="3"/>
  <c r="D22" i="3" s="1"/>
  <c r="C25" i="3"/>
  <c r="F106" i="3"/>
  <c r="C108" i="3"/>
  <c r="C106" i="3" s="1"/>
  <c r="E30" i="3"/>
  <c r="E28" i="3" s="1"/>
  <c r="E22" i="3" s="1"/>
  <c r="C34" i="3"/>
  <c r="D29" i="3"/>
  <c r="D23" i="3" s="1"/>
  <c r="E31" i="3"/>
  <c r="E29" i="3" s="1"/>
  <c r="E23" i="3" s="1"/>
  <c r="H640" i="3"/>
  <c r="L281" i="2"/>
  <c r="L279" i="2" s="1"/>
  <c r="Z281" i="2"/>
  <c r="J162" i="2"/>
  <c r="K373" i="2"/>
  <c r="K327" i="2" s="1"/>
  <c r="J306" i="2"/>
  <c r="U326" i="2"/>
  <c r="T326" i="2" s="1"/>
  <c r="L244" i="2"/>
  <c r="U327" i="2"/>
  <c r="U279" i="2" s="1"/>
  <c r="AB48" i="2"/>
  <c r="AB46" i="2" s="1"/>
  <c r="AB204" i="2" s="1"/>
  <c r="AB202" i="2" s="1"/>
  <c r="AA278" i="2"/>
  <c r="AA276" i="2" s="1"/>
  <c r="AA434" i="2" s="1"/>
  <c r="AA432" i="2" s="1"/>
  <c r="AA260" i="2"/>
  <c r="AA258" i="2" s="1"/>
  <c r="J313" i="2"/>
  <c r="N281" i="2"/>
  <c r="N279" i="2" s="1"/>
  <c r="O47" i="2"/>
  <c r="Q277" i="2"/>
  <c r="Q435" i="2" s="1"/>
  <c r="Q433" i="2" s="1"/>
  <c r="Z326" i="2"/>
  <c r="Y326" i="2" s="1"/>
  <c r="K270" i="2"/>
  <c r="J270" i="2" s="1"/>
  <c r="V278" i="2"/>
  <c r="V276" i="2" s="1"/>
  <c r="V434" i="2" s="1"/>
  <c r="V432" i="2" s="1"/>
  <c r="J307" i="2"/>
  <c r="J190" i="2"/>
  <c r="Y43" i="2"/>
  <c r="J122" i="2"/>
  <c r="O255" i="2"/>
  <c r="V260" i="2"/>
  <c r="V258" i="2" s="1"/>
  <c r="L280" i="2"/>
  <c r="L262" i="2" s="1"/>
  <c r="L260" i="2" s="1"/>
  <c r="L258" i="2" s="1"/>
  <c r="Y41" i="2"/>
  <c r="AB27" i="2"/>
  <c r="AC32" i="2"/>
  <c r="AC30" i="2" s="1"/>
  <c r="AC28" i="2" s="1"/>
  <c r="AB45" i="2"/>
  <c r="AB203" i="2" s="1"/>
  <c r="AB201" i="2" s="1"/>
  <c r="W327" i="2"/>
  <c r="W265" i="2" s="1"/>
  <c r="AC48" i="2"/>
  <c r="AC46" i="2" s="1"/>
  <c r="AC204" i="2" s="1"/>
  <c r="AC202" i="2" s="1"/>
  <c r="Y372" i="2"/>
  <c r="O393" i="2"/>
  <c r="O391" i="2" s="1"/>
  <c r="K282" i="2"/>
  <c r="K280" i="2" s="1"/>
  <c r="Y185" i="2"/>
  <c r="AC45" i="2"/>
  <c r="AC203" i="2" s="1"/>
  <c r="N263" i="2"/>
  <c r="N261" i="2" s="1"/>
  <c r="J421" i="2"/>
  <c r="K419" i="2"/>
  <c r="X279" i="2"/>
  <c r="X277" i="2" s="1"/>
  <c r="X435" i="2" s="1"/>
  <c r="X433" i="2" s="1"/>
  <c r="X263" i="2"/>
  <c r="X261" i="2" s="1"/>
  <c r="X259" i="2" s="1"/>
  <c r="K281" i="2"/>
  <c r="J283" i="2"/>
  <c r="M219" i="2"/>
  <c r="J219" i="2" s="1"/>
  <c r="T185" i="2"/>
  <c r="U41" i="2"/>
  <c r="T41" i="2" s="1"/>
  <c r="J51" i="2"/>
  <c r="K49" i="2"/>
  <c r="AB416" i="2"/>
  <c r="AB272" i="2" s="1"/>
  <c r="AB258" i="2" s="1"/>
  <c r="AB274" i="2"/>
  <c r="Y96" i="2"/>
  <c r="Z34" i="2"/>
  <c r="Y34" i="2" s="1"/>
  <c r="AB206" i="2"/>
  <c r="Y206" i="2" s="1"/>
  <c r="Y210" i="2"/>
  <c r="L218" i="2"/>
  <c r="J142" i="2"/>
  <c r="U419" i="2"/>
  <c r="T421" i="2"/>
  <c r="N37" i="2"/>
  <c r="L160" i="2"/>
  <c r="O30" i="2"/>
  <c r="J372" i="2"/>
  <c r="J256" i="2"/>
  <c r="P203" i="2"/>
  <c r="O45" i="2"/>
  <c r="L33" i="2"/>
  <c r="M37" i="2"/>
  <c r="J97" i="2"/>
  <c r="K95" i="2"/>
  <c r="J177" i="2"/>
  <c r="K39" i="2"/>
  <c r="Z33" i="2"/>
  <c r="Y33" i="2" s="1"/>
  <c r="Y95" i="2"/>
  <c r="V261" i="2"/>
  <c r="V259" i="2" s="1"/>
  <c r="J125" i="2"/>
  <c r="AA279" i="2"/>
  <c r="AA277" i="2" s="1"/>
  <c r="AA435" i="2" s="1"/>
  <c r="AA433" i="2" s="1"/>
  <c r="J189" i="2"/>
  <c r="K187" i="2"/>
  <c r="Z48" i="2"/>
  <c r="K186" i="2"/>
  <c r="K44" i="2"/>
  <c r="L47" i="2"/>
  <c r="L96" i="2"/>
  <c r="T255" i="2"/>
  <c r="K255" i="2"/>
  <c r="J255" i="2" s="1"/>
  <c r="U252" i="2"/>
  <c r="T252" i="2" s="1"/>
  <c r="M95" i="2"/>
  <c r="M47" i="2" s="1"/>
  <c r="J220" i="2"/>
  <c r="M96" i="2"/>
  <c r="M48" i="2" s="1"/>
  <c r="N47" i="2"/>
  <c r="N31" i="2"/>
  <c r="P276" i="2"/>
  <c r="AB277" i="2"/>
  <c r="AB435" i="2" s="1"/>
  <c r="AB433" i="2" s="1"/>
  <c r="L50" i="2"/>
  <c r="N160" i="2"/>
  <c r="T24" i="2"/>
  <c r="U21" i="2"/>
  <c r="T21" i="2" s="1"/>
  <c r="J98" i="2"/>
  <c r="K96" i="2"/>
  <c r="T372" i="2"/>
  <c r="AA30" i="2"/>
  <c r="AA28" i="2" s="1"/>
  <c r="J248" i="2"/>
  <c r="K247" i="2"/>
  <c r="U267" i="2"/>
  <c r="T267" i="2" s="1"/>
  <c r="T188" i="2"/>
  <c r="U186" i="2"/>
  <c r="U44" i="2"/>
  <c r="T44" i="2" s="1"/>
  <c r="K218" i="2"/>
  <c r="V279" i="2"/>
  <c r="V277" i="2" s="1"/>
  <c r="V435" i="2" s="1"/>
  <c r="V433" i="2" s="1"/>
  <c r="T50" i="2"/>
  <c r="U48" i="2"/>
  <c r="U32" i="2"/>
  <c r="N33" i="2"/>
  <c r="AA261" i="2"/>
  <c r="AA259" i="2" s="1"/>
  <c r="R433" i="2"/>
  <c r="N262" i="2"/>
  <c r="N260" i="2" s="1"/>
  <c r="N258" i="2" s="1"/>
  <c r="N278" i="2"/>
  <c r="N276" i="2" s="1"/>
  <c r="M187" i="2"/>
  <c r="Z252" i="2"/>
  <c r="Y252" i="2" s="1"/>
  <c r="Y255" i="2"/>
  <c r="M40" i="2"/>
  <c r="T14" i="2"/>
  <c r="M36" i="2"/>
  <c r="M32" i="2"/>
  <c r="P202" i="2"/>
  <c r="T31" i="2"/>
  <c r="U29" i="2"/>
  <c r="P260" i="2"/>
  <c r="O264" i="2"/>
  <c r="L417" i="2"/>
  <c r="L273" i="2" s="1"/>
  <c r="L275" i="2"/>
  <c r="AB259" i="2"/>
  <c r="J329" i="2"/>
  <c r="N96" i="2"/>
  <c r="Q268" i="2"/>
  <c r="Q278" i="2"/>
  <c r="Q276" i="2" s="1"/>
  <c r="Q434" i="2" s="1"/>
  <c r="W276" i="2"/>
  <c r="W434" i="2" s="1"/>
  <c r="T96" i="2"/>
  <c r="U34" i="2"/>
  <c r="T34" i="2" s="1"/>
  <c r="K390" i="2"/>
  <c r="K268" i="2" s="1"/>
  <c r="J268" i="2" s="1"/>
  <c r="AA48" i="2"/>
  <c r="AA46" i="2" s="1"/>
  <c r="AA204" i="2" s="1"/>
  <c r="AA202" i="2" s="1"/>
  <c r="L188" i="2"/>
  <c r="Y329" i="2"/>
  <c r="Z327" i="2"/>
  <c r="Z279" i="2" s="1"/>
  <c r="P27" i="2"/>
  <c r="K24" i="2"/>
  <c r="O24" i="2"/>
  <c r="P21" i="2"/>
  <c r="L37" i="2"/>
  <c r="J409" i="2"/>
  <c r="K271" i="2"/>
  <c r="J271" i="2" s="1"/>
  <c r="X432" i="2"/>
  <c r="M263" i="2"/>
  <c r="K326" i="2"/>
  <c r="J328" i="2"/>
  <c r="Y218" i="2"/>
  <c r="Z217" i="2"/>
  <c r="R261" i="2"/>
  <c r="R259" i="2" s="1"/>
  <c r="O263" i="2"/>
  <c r="P244" i="2"/>
  <c r="O244" i="2" s="1"/>
  <c r="O252" i="2"/>
  <c r="AC258" i="2"/>
  <c r="J121" i="2"/>
  <c r="U45" i="2"/>
  <c r="T47" i="2"/>
  <c r="Y419" i="2"/>
  <c r="Z417" i="2"/>
  <c r="Z275" i="2"/>
  <c r="R201" i="2"/>
  <c r="U280" i="2"/>
  <c r="AC417" i="2"/>
  <c r="AC273" i="2" s="1"/>
  <c r="AC259" i="2" s="1"/>
  <c r="AC275" i="2"/>
  <c r="W258" i="2"/>
  <c r="W217" i="2"/>
  <c r="T218" i="2"/>
  <c r="N210" i="2"/>
  <c r="J211" i="2"/>
  <c r="N187" i="2"/>
  <c r="O31" i="2"/>
  <c r="J16" i="2"/>
  <c r="N50" i="2"/>
  <c r="K35" i="2"/>
  <c r="J76" i="2"/>
  <c r="O253" i="2"/>
  <c r="J170" i="2"/>
  <c r="J160" i="2" s="1"/>
  <c r="AC276" i="2"/>
  <c r="AC434" i="2" s="1"/>
  <c r="AC432" i="2" s="1"/>
  <c r="J253" i="2"/>
  <c r="K252" i="2"/>
  <c r="J252" i="2" s="1"/>
  <c r="Y14" i="2"/>
  <c r="Z13" i="2"/>
  <c r="Y13" i="2" s="1"/>
  <c r="S269" i="2"/>
  <c r="S261" i="2" s="1"/>
  <c r="S259" i="2" s="1"/>
  <c r="S279" i="2"/>
  <c r="S277" i="2" s="1"/>
  <c r="S435" i="2" s="1"/>
  <c r="T373" i="2"/>
  <c r="J375" i="2"/>
  <c r="J373" i="2" s="1"/>
  <c r="U269" i="2"/>
  <c r="T269" i="2" s="1"/>
  <c r="J82" i="2"/>
  <c r="J178" i="2"/>
  <c r="K40" i="2"/>
  <c r="Y247" i="2"/>
  <c r="Z246" i="2"/>
  <c r="M327" i="2"/>
  <c r="M265" i="2" s="1"/>
  <c r="N417" i="2"/>
  <c r="N273" i="2" s="1"/>
  <c r="N275" i="2"/>
  <c r="T247" i="2"/>
  <c r="U246" i="2"/>
  <c r="Y49" i="2"/>
  <c r="Z47" i="2"/>
  <c r="Z31" i="2"/>
  <c r="J141" i="2"/>
  <c r="J126" i="2"/>
  <c r="K37" i="2"/>
  <c r="J15" i="2"/>
  <c r="K14" i="2"/>
  <c r="T281" i="2"/>
  <c r="U263" i="2"/>
  <c r="R202" i="2"/>
  <c r="T418" i="2"/>
  <c r="U416" i="2"/>
  <c r="U274" i="2"/>
  <c r="T274" i="2" s="1"/>
  <c r="J308" i="2"/>
  <c r="L40" i="2"/>
  <c r="L203" i="2"/>
  <c r="Q201" i="2"/>
  <c r="Y418" i="2"/>
  <c r="Z416" i="2"/>
  <c r="Z274" i="2"/>
  <c r="Y274" i="2" s="1"/>
  <c r="K38" i="2"/>
  <c r="J52" i="2"/>
  <c r="K50" i="2"/>
  <c r="Y281" i="2"/>
  <c r="Z263" i="2"/>
  <c r="Y188" i="2"/>
  <c r="Z186" i="2"/>
  <c r="Z44" i="2"/>
  <c r="Y44" i="2" s="1"/>
  <c r="M260" i="2"/>
  <c r="W263" i="2"/>
  <c r="N188" i="2"/>
  <c r="T329" i="2"/>
  <c r="Q273" i="2"/>
  <c r="O273" i="2" s="1"/>
  <c r="O417" i="2"/>
  <c r="N24" i="2"/>
  <c r="N21" i="2" s="1"/>
  <c r="N13" i="2" s="1"/>
  <c r="S21" i="2"/>
  <c r="S13" i="2" s="1"/>
  <c r="M188" i="2"/>
  <c r="T385" i="2"/>
  <c r="O28" i="2"/>
  <c r="Y282" i="2"/>
  <c r="Z280" i="2"/>
  <c r="U264" i="2"/>
  <c r="T264" i="2" s="1"/>
  <c r="M31" i="2"/>
  <c r="K36" i="2"/>
  <c r="P279" i="2"/>
  <c r="P269" i="2"/>
  <c r="J420" i="2"/>
  <c r="K418" i="2"/>
  <c r="L206" i="2"/>
  <c r="T357" i="2"/>
  <c r="M39" i="2"/>
  <c r="O37" i="2"/>
  <c r="Q29" i="2"/>
  <c r="Q27" i="2" s="1"/>
  <c r="Y420" i="2"/>
  <c r="Z269" i="2"/>
  <c r="Y269" i="2" s="1"/>
  <c r="J393" i="2"/>
  <c r="J391" i="2" s="1"/>
  <c r="K391" i="2"/>
  <c r="K269" i="2" s="1"/>
  <c r="J269" i="2" s="1"/>
  <c r="M278" i="2"/>
  <c r="W48" i="2"/>
  <c r="W46" i="2" s="1"/>
  <c r="W204" i="2" s="1"/>
  <c r="W202" i="2" s="1"/>
  <c r="W32" i="2"/>
  <c r="W30" i="2" s="1"/>
  <c r="W28" i="2" s="1"/>
  <c r="M416" i="2"/>
  <c r="M272" i="2" s="1"/>
  <c r="M274" i="2"/>
  <c r="N244" i="2"/>
  <c r="J385" i="2"/>
  <c r="Q46" i="2" l="1"/>
  <c r="L263" i="2"/>
  <c r="L261" i="2" s="1"/>
  <c r="C23" i="3"/>
  <c r="C33" i="3"/>
  <c r="N204" i="2"/>
  <c r="N202" i="2" s="1"/>
  <c r="Z264" i="2"/>
  <c r="Y264" i="2" s="1"/>
  <c r="F30" i="3"/>
  <c r="F28" i="3" s="1"/>
  <c r="C28" i="3" s="1"/>
  <c r="C32" i="3"/>
  <c r="AB276" i="2"/>
  <c r="AB434" i="2" s="1"/>
  <c r="AB432" i="2" s="1"/>
  <c r="L278" i="2"/>
  <c r="L276" i="2" s="1"/>
  <c r="U13" i="2"/>
  <c r="T13" i="2" s="1"/>
  <c r="F104" i="3"/>
  <c r="C104" i="3" s="1"/>
  <c r="F26" i="3"/>
  <c r="C31" i="3"/>
  <c r="C29" i="3"/>
  <c r="J282" i="2"/>
  <c r="U265" i="2"/>
  <c r="T265" i="2" s="1"/>
  <c r="W261" i="2"/>
  <c r="W259" i="2" s="1"/>
  <c r="W279" i="2"/>
  <c r="W277" i="2" s="1"/>
  <c r="W435" i="2" s="1"/>
  <c r="W433" i="2" s="1"/>
  <c r="L29" i="2"/>
  <c r="L27" i="2" s="1"/>
  <c r="T327" i="2"/>
  <c r="N434" i="2"/>
  <c r="N432" i="2" s="1"/>
  <c r="M203" i="2"/>
  <c r="M201" i="2" s="1"/>
  <c r="Y32" i="2"/>
  <c r="AC201" i="2"/>
  <c r="N203" i="2"/>
  <c r="N201" i="2" s="1"/>
  <c r="Y275" i="2"/>
  <c r="J188" i="2"/>
  <c r="L48" i="2"/>
  <c r="L32" i="2"/>
  <c r="M258" i="2"/>
  <c r="T279" i="2"/>
  <c r="Z29" i="2"/>
  <c r="Y31" i="2"/>
  <c r="U203" i="2"/>
  <c r="T45" i="2"/>
  <c r="O27" i="2"/>
  <c r="L434" i="2"/>
  <c r="L432" i="2" s="1"/>
  <c r="Q432" i="2"/>
  <c r="AC277" i="2"/>
  <c r="AC435" i="2" s="1"/>
  <c r="AC433" i="2" s="1"/>
  <c r="K42" i="2"/>
  <c r="M218" i="2"/>
  <c r="Y186" i="2"/>
  <c r="Z42" i="2"/>
  <c r="Y42" i="2" s="1"/>
  <c r="L217" i="2"/>
  <c r="P261" i="2"/>
  <c r="O269" i="2"/>
  <c r="J36" i="2"/>
  <c r="Y280" i="2"/>
  <c r="Z278" i="2"/>
  <c r="Z262" i="2"/>
  <c r="Y279" i="2"/>
  <c r="Z277" i="2"/>
  <c r="M204" i="2"/>
  <c r="U261" i="2"/>
  <c r="T263" i="2"/>
  <c r="J37" i="2"/>
  <c r="Y47" i="2"/>
  <c r="Z45" i="2"/>
  <c r="Z245" i="2"/>
  <c r="Y246" i="2"/>
  <c r="J40" i="2"/>
  <c r="Q259" i="2"/>
  <c r="Y417" i="2"/>
  <c r="Z273" i="2"/>
  <c r="Y273" i="2" s="1"/>
  <c r="L277" i="2"/>
  <c r="J326" i="2"/>
  <c r="K264" i="2"/>
  <c r="J264" i="2" s="1"/>
  <c r="O29" i="2"/>
  <c r="Q260" i="2"/>
  <c r="Q258" i="2" s="1"/>
  <c r="O268" i="2"/>
  <c r="P258" i="2"/>
  <c r="O258" i="2" s="1"/>
  <c r="M185" i="2"/>
  <c r="M43" i="2"/>
  <c r="N29" i="2"/>
  <c r="L38" i="2"/>
  <c r="J280" i="2"/>
  <c r="K278" i="2"/>
  <c r="K262" i="2"/>
  <c r="Q204" i="2"/>
  <c r="O46" i="2"/>
  <c r="O279" i="2"/>
  <c r="P277" i="2"/>
  <c r="Y263" i="2"/>
  <c r="J50" i="2"/>
  <c r="K48" i="2"/>
  <c r="K32" i="2"/>
  <c r="L201" i="2"/>
  <c r="J14" i="2"/>
  <c r="J35" i="2"/>
  <c r="N206" i="2"/>
  <c r="J206" i="2" s="1"/>
  <c r="J210" i="2"/>
  <c r="L259" i="2"/>
  <c r="M279" i="2"/>
  <c r="M277" i="2" s="1"/>
  <c r="L186" i="2"/>
  <c r="L44" i="2"/>
  <c r="K246" i="2"/>
  <c r="J247" i="2"/>
  <c r="J327" i="2"/>
  <c r="K265" i="2"/>
  <c r="J265" i="2" s="1"/>
  <c r="P434" i="2"/>
  <c r="O276" i="2"/>
  <c r="Z46" i="2"/>
  <c r="Y48" i="2"/>
  <c r="T416" i="2"/>
  <c r="U272" i="2"/>
  <c r="T272" i="2" s="1"/>
  <c r="M276" i="2"/>
  <c r="M186" i="2"/>
  <c r="M44" i="2"/>
  <c r="S433" i="2"/>
  <c r="T280" i="2"/>
  <c r="U278" i="2"/>
  <c r="U262" i="2"/>
  <c r="M261" i="2"/>
  <c r="M259" i="2" s="1"/>
  <c r="T32" i="2"/>
  <c r="U30" i="2"/>
  <c r="K217" i="2"/>
  <c r="J218" i="2"/>
  <c r="O278" i="2"/>
  <c r="J419" i="2"/>
  <c r="K417" i="2"/>
  <c r="K275" i="2"/>
  <c r="J275" i="2" s="1"/>
  <c r="K416" i="2"/>
  <c r="J418" i="2"/>
  <c r="K274" i="2"/>
  <c r="J274" i="2" s="1"/>
  <c r="W216" i="2"/>
  <c r="T217" i="2"/>
  <c r="M45" i="2"/>
  <c r="N186" i="2"/>
  <c r="N44" i="2"/>
  <c r="Y416" i="2"/>
  <c r="Z272" i="2"/>
  <c r="Y272" i="2" s="1"/>
  <c r="T246" i="2"/>
  <c r="U245" i="2"/>
  <c r="N48" i="2"/>
  <c r="N32" i="2"/>
  <c r="Y217" i="2"/>
  <c r="Z216" i="2"/>
  <c r="Y327" i="2"/>
  <c r="Z265" i="2"/>
  <c r="Y265" i="2" s="1"/>
  <c r="W432" i="2"/>
  <c r="M434" i="2"/>
  <c r="M432" i="2" s="1"/>
  <c r="T29" i="2"/>
  <c r="U27" i="2"/>
  <c r="T27" i="2" s="1"/>
  <c r="T48" i="2"/>
  <c r="U46" i="2"/>
  <c r="J96" i="2"/>
  <c r="K34" i="2"/>
  <c r="N38" i="2"/>
  <c r="M34" i="2"/>
  <c r="L34" i="2"/>
  <c r="J95" i="2"/>
  <c r="K33" i="2"/>
  <c r="J281" i="2"/>
  <c r="K263" i="2"/>
  <c r="K279" i="2"/>
  <c r="L435" i="2"/>
  <c r="L433" i="2" s="1"/>
  <c r="P13" i="2"/>
  <c r="O13" i="2" s="1"/>
  <c r="O21" i="2"/>
  <c r="M33" i="2"/>
  <c r="L45" i="2"/>
  <c r="J187" i="2"/>
  <c r="K185" i="2"/>
  <c r="K43" i="2"/>
  <c r="P201" i="2"/>
  <c r="O201" i="2" s="1"/>
  <c r="O203" i="2"/>
  <c r="Z30" i="2"/>
  <c r="N259" i="2"/>
  <c r="N185" i="2"/>
  <c r="N43" i="2"/>
  <c r="J24" i="2"/>
  <c r="K21" i="2"/>
  <c r="J21" i="2" s="1"/>
  <c r="N34" i="2"/>
  <c r="M435" i="2"/>
  <c r="M433" i="2" s="1"/>
  <c r="T186" i="2"/>
  <c r="U42" i="2"/>
  <c r="T42" i="2" s="1"/>
  <c r="J39" i="2"/>
  <c r="T419" i="2"/>
  <c r="U417" i="2"/>
  <c r="U275" i="2"/>
  <c r="T275" i="2" s="1"/>
  <c r="J49" i="2"/>
  <c r="K47" i="2"/>
  <c r="K31" i="2"/>
  <c r="N277" i="2"/>
  <c r="O260" i="2" l="1"/>
  <c r="C30" i="3"/>
  <c r="F24" i="3"/>
  <c r="C26" i="3"/>
  <c r="J38" i="2"/>
  <c r="N435" i="2"/>
  <c r="N433" i="2" s="1"/>
  <c r="W215" i="2"/>
  <c r="T215" i="2" s="1"/>
  <c r="T216" i="2"/>
  <c r="J44" i="2"/>
  <c r="O434" i="2"/>
  <c r="P432" i="2"/>
  <c r="O432" i="2" s="1"/>
  <c r="K13" i="2"/>
  <c r="J13" i="2" s="1"/>
  <c r="J32" i="2"/>
  <c r="K30" i="2"/>
  <c r="K260" i="2"/>
  <c r="J262" i="2"/>
  <c r="M202" i="2"/>
  <c r="Z435" i="2"/>
  <c r="Y277" i="2"/>
  <c r="L216" i="2"/>
  <c r="Y29" i="2"/>
  <c r="Z27" i="2"/>
  <c r="Y27" i="2" s="1"/>
  <c r="J34" i="2"/>
  <c r="T261" i="2"/>
  <c r="K216" i="2"/>
  <c r="L42" i="2"/>
  <c r="K46" i="2"/>
  <c r="J48" i="2"/>
  <c r="J278" i="2"/>
  <c r="K276" i="2"/>
  <c r="J276" i="2" s="1"/>
  <c r="Y245" i="2"/>
  <c r="Z244" i="2"/>
  <c r="Y244" i="2" s="1"/>
  <c r="U204" i="2"/>
  <c r="T46" i="2"/>
  <c r="Y216" i="2"/>
  <c r="Z215" i="2"/>
  <c r="Y215" i="2" s="1"/>
  <c r="T245" i="2"/>
  <c r="U244" i="2"/>
  <c r="T244" i="2" s="1"/>
  <c r="N42" i="2"/>
  <c r="J416" i="2"/>
  <c r="K272" i="2"/>
  <c r="J272" i="2" s="1"/>
  <c r="T30" i="2"/>
  <c r="U28" i="2"/>
  <c r="T28" i="2" s="1"/>
  <c r="U260" i="2"/>
  <c r="T262" i="2"/>
  <c r="Z203" i="2"/>
  <c r="Y45" i="2"/>
  <c r="N46" i="2"/>
  <c r="K45" i="2"/>
  <c r="J47" i="2"/>
  <c r="K277" i="2"/>
  <c r="J277" i="2" s="1"/>
  <c r="J279" i="2"/>
  <c r="T278" i="2"/>
  <c r="U276" i="2"/>
  <c r="M42" i="2"/>
  <c r="P259" i="2"/>
  <c r="O259" i="2" s="1"/>
  <c r="O261" i="2"/>
  <c r="U201" i="2"/>
  <c r="T201" i="2" s="1"/>
  <c r="T203" i="2"/>
  <c r="L30" i="2"/>
  <c r="T417" i="2"/>
  <c r="U273" i="2"/>
  <c r="T273" i="2" s="1"/>
  <c r="Y30" i="2"/>
  <c r="Z28" i="2"/>
  <c r="Y28" i="2" s="1"/>
  <c r="J43" i="2"/>
  <c r="K261" i="2"/>
  <c r="J263" i="2"/>
  <c r="J417" i="2"/>
  <c r="K273" i="2"/>
  <c r="J273" i="2" s="1"/>
  <c r="Z204" i="2"/>
  <c r="Y46" i="2"/>
  <c r="J246" i="2"/>
  <c r="K245" i="2"/>
  <c r="Z261" i="2"/>
  <c r="M217" i="2"/>
  <c r="J217" i="2" s="1"/>
  <c r="L46" i="2"/>
  <c r="J31" i="2"/>
  <c r="K29" i="2"/>
  <c r="N41" i="2"/>
  <c r="M46" i="2"/>
  <c r="M29" i="2"/>
  <c r="Q202" i="2"/>
  <c r="O202" i="2" s="1"/>
  <c r="L204" i="2"/>
  <c r="O204" i="2"/>
  <c r="M41" i="2"/>
  <c r="Y262" i="2"/>
  <c r="Z260" i="2"/>
  <c r="U277" i="2"/>
  <c r="J185" i="2"/>
  <c r="K41" i="2"/>
  <c r="J33" i="2"/>
  <c r="N30" i="2"/>
  <c r="N45" i="2"/>
  <c r="M30" i="2"/>
  <c r="P435" i="2"/>
  <c r="O277" i="2"/>
  <c r="Y278" i="2"/>
  <c r="Z276" i="2"/>
  <c r="J186" i="2"/>
  <c r="F22" i="3" l="1"/>
  <c r="C22" i="3" s="1"/>
  <c r="C24" i="3"/>
  <c r="U259" i="2"/>
  <c r="T259" i="2" s="1"/>
  <c r="Z434" i="2"/>
  <c r="Y276" i="2"/>
  <c r="T204" i="2"/>
  <c r="U202" i="2"/>
  <c r="T202" i="2" s="1"/>
  <c r="K204" i="2"/>
  <c r="L215" i="2"/>
  <c r="P433" i="2"/>
  <c r="O433" i="2" s="1"/>
  <c r="O435" i="2"/>
  <c r="M28" i="2"/>
  <c r="J42" i="2"/>
  <c r="J29" i="2"/>
  <c r="K27" i="2"/>
  <c r="M216" i="2"/>
  <c r="J216" i="2" s="1"/>
  <c r="J46" i="2"/>
  <c r="K258" i="2"/>
  <c r="J258" i="2" s="1"/>
  <c r="J260" i="2"/>
  <c r="K215" i="2"/>
  <c r="J41" i="2"/>
  <c r="U434" i="2"/>
  <c r="T276" i="2"/>
  <c r="L28" i="2"/>
  <c r="U258" i="2"/>
  <c r="T258" i="2" s="1"/>
  <c r="T260" i="2"/>
  <c r="K28" i="2"/>
  <c r="J30" i="2"/>
  <c r="U435" i="2"/>
  <c r="T277" i="2"/>
  <c r="L202" i="2"/>
  <c r="Z259" i="2"/>
  <c r="Y259" i="2" s="1"/>
  <c r="Y261" i="2"/>
  <c r="J45" i="2"/>
  <c r="Z202" i="2"/>
  <c r="Y202" i="2" s="1"/>
  <c r="Y204" i="2"/>
  <c r="N28" i="2"/>
  <c r="J245" i="2"/>
  <c r="K244" i="2"/>
  <c r="J244" i="2" s="1"/>
  <c r="K259" i="2"/>
  <c r="J259" i="2" s="1"/>
  <c r="J261" i="2"/>
  <c r="N27" i="2"/>
  <c r="Y260" i="2"/>
  <c r="Z258" i="2"/>
  <c r="Y258" i="2" s="1"/>
  <c r="M27" i="2"/>
  <c r="Z201" i="2"/>
  <c r="Y201" i="2" s="1"/>
  <c r="Y203" i="2"/>
  <c r="K203" i="2"/>
  <c r="Z433" i="2"/>
  <c r="Y433" i="2" s="1"/>
  <c r="Y435" i="2"/>
  <c r="T434" i="2" l="1"/>
  <c r="U432" i="2"/>
  <c r="T432" i="2" s="1"/>
  <c r="K434" i="2"/>
  <c r="J204" i="2"/>
  <c r="K202" i="2"/>
  <c r="J28" i="2"/>
  <c r="M215" i="2"/>
  <c r="K201" i="2"/>
  <c r="J203" i="2"/>
  <c r="T435" i="2"/>
  <c r="U433" i="2"/>
  <c r="T433" i="2" s="1"/>
  <c r="J27" i="2"/>
  <c r="K435" i="2"/>
  <c r="Y434" i="2"/>
  <c r="Z432" i="2"/>
  <c r="Y432" i="2" s="1"/>
  <c r="J202" i="2" l="1"/>
  <c r="J434" i="2"/>
  <c r="K432" i="2"/>
  <c r="J432" i="2" s="1"/>
  <c r="J201" i="2"/>
  <c r="K433" i="2"/>
  <c r="J433" i="2" s="1"/>
  <c r="J435" i="2"/>
  <c r="J2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uthor>
  </authors>
  <commentList>
    <comment ref="Y116" authorId="0" shapeId="0" xr:uid="{00000000-0006-0000-0000-000001000000}">
      <text>
        <r>
          <rPr>
            <b/>
            <sz val="9"/>
            <color indexed="81"/>
            <rFont val="Tahoma"/>
            <family val="2"/>
          </rPr>
          <t>Adrian:</t>
        </r>
        <r>
          <rPr>
            <sz val="9"/>
            <color indexed="81"/>
            <rFont val="Tahoma"/>
            <family val="2"/>
          </rPr>
          <t xml:space="preserve">
CEZAR: 7.000
altele:     4.000</t>
        </r>
      </text>
    </comment>
    <comment ref="Z191" authorId="0" shapeId="0" xr:uid="{00000000-0006-0000-0000-000002000000}">
      <text>
        <r>
          <rPr>
            <b/>
            <sz val="9"/>
            <color indexed="81"/>
            <rFont val="Tahoma"/>
            <family val="2"/>
          </rPr>
          <t>Adrian:</t>
        </r>
        <r>
          <rPr>
            <sz val="9"/>
            <color indexed="81"/>
            <rFont val="Tahoma"/>
            <family val="2"/>
          </rPr>
          <t xml:space="preserve">
CS = 1.740
ANCPI = 560 SF
ANCPI = 307 centru arhivistic
ANCPI = 4.800 SF
BC = 35
BR = 30
</t>
        </r>
        <r>
          <rPr>
            <sz val="9"/>
            <color indexed="10"/>
            <rFont val="Tahoma"/>
            <family val="2"/>
          </rPr>
          <t>ANCPI = - 4.800 SF</t>
        </r>
      </text>
    </comment>
    <comment ref="AB191" authorId="0" shapeId="0" xr:uid="{00000000-0006-0000-0000-000003000000}">
      <text>
        <r>
          <rPr>
            <b/>
            <sz val="9"/>
            <color indexed="81"/>
            <rFont val="Tahoma"/>
            <family val="2"/>
          </rPr>
          <t>Adrian:</t>
        </r>
        <r>
          <rPr>
            <sz val="9"/>
            <color indexed="81"/>
            <rFont val="Tahoma"/>
            <family val="2"/>
          </rPr>
          <t xml:space="preserve">
GR = 164 PAC+PT+DE extindere cladire sediu</t>
        </r>
      </text>
    </comment>
    <comment ref="AC191" authorId="0" shapeId="0" xr:uid="{00000000-0006-0000-0000-000004000000}">
      <text>
        <r>
          <rPr>
            <b/>
            <sz val="9"/>
            <color indexed="81"/>
            <rFont val="Tahoma"/>
            <family val="2"/>
          </rPr>
          <t>Adrian:</t>
        </r>
        <r>
          <rPr>
            <sz val="9"/>
            <color indexed="81"/>
            <rFont val="Tahoma"/>
            <family val="2"/>
          </rPr>
          <t xml:space="preserve">
CS = 17 expertiză tehnică lucrări abandonate
CV = 23 DALI lucrări autorizație incendiu
TL = 34 DALI reparație capitașă arhivă</t>
        </r>
      </text>
    </comment>
    <comment ref="Z192" authorId="0" shapeId="0" xr:uid="{00000000-0006-0000-0000-000005000000}">
      <text>
        <r>
          <rPr>
            <b/>
            <sz val="9"/>
            <color indexed="81"/>
            <rFont val="Tahoma"/>
            <family val="2"/>
          </rPr>
          <t>Adrian:</t>
        </r>
        <r>
          <rPr>
            <sz val="9"/>
            <color indexed="81"/>
            <rFont val="Tahoma"/>
            <family val="2"/>
          </rPr>
          <t xml:space="preserve">
BR =    396
CS = 2.000
GJ =    590
ANCPI = 560 SF
ANCPI = 307 centru arhivistiv
BC = 35
BR = 30</t>
        </r>
      </text>
    </comment>
    <comment ref="AA192" authorId="0" shapeId="0" xr:uid="{00000000-0006-0000-0000-000006000000}">
      <text>
        <r>
          <rPr>
            <b/>
            <sz val="9"/>
            <color indexed="81"/>
            <rFont val="Tahoma"/>
            <family val="2"/>
          </rPr>
          <t>Adrian:</t>
        </r>
        <r>
          <rPr>
            <sz val="9"/>
            <color indexed="81"/>
            <rFont val="Tahoma"/>
            <family val="2"/>
          </rPr>
          <t xml:space="preserve">
CS = 2.000
GJ =    500
ANCPI = 4.800 SF
</t>
        </r>
        <r>
          <rPr>
            <sz val="9"/>
            <color indexed="10"/>
            <rFont val="Tahoma"/>
            <family val="2"/>
          </rPr>
          <t>ANCPI = - 4.800 SF</t>
        </r>
      </text>
    </comment>
    <comment ref="AB192" authorId="0" shapeId="0" xr:uid="{00000000-0006-0000-0000-000007000000}">
      <text>
        <r>
          <rPr>
            <b/>
            <sz val="9"/>
            <color indexed="81"/>
            <rFont val="Tahoma"/>
            <family val="2"/>
          </rPr>
          <t>Adrian:</t>
        </r>
        <r>
          <rPr>
            <sz val="9"/>
            <color indexed="81"/>
            <rFont val="Tahoma"/>
            <family val="2"/>
          </rPr>
          <t xml:space="preserve">
CS = 2.000
GJ =    500
GR =    115 PAC+PT+DE extindere cladire sediu</t>
        </r>
      </text>
    </comment>
    <comment ref="AC192" authorId="0" shapeId="0" xr:uid="{00000000-0006-0000-0000-000008000000}">
      <text>
        <r>
          <rPr>
            <b/>
            <sz val="9"/>
            <color indexed="81"/>
            <rFont val="Tahoma"/>
            <family val="2"/>
          </rPr>
          <t>Adrian:</t>
        </r>
        <r>
          <rPr>
            <sz val="9"/>
            <color indexed="81"/>
            <rFont val="Tahoma"/>
            <family val="2"/>
          </rPr>
          <t xml:space="preserve">
CS = 626
GJ =  500
CS = 17 expertiză tehnică lucrări abandonate
CV = 23 DALI lucrări autorizație incendiu
TL = 34 DALI reparație capitașă arhivă</t>
        </r>
      </text>
    </comment>
    <comment ref="U193" authorId="0" shapeId="0" xr:uid="{00000000-0006-0000-0000-000009000000}">
      <text>
        <r>
          <rPr>
            <b/>
            <sz val="9"/>
            <color indexed="81"/>
            <rFont val="Tahoma"/>
            <family val="2"/>
          </rPr>
          <t>Adrian:</t>
        </r>
        <r>
          <rPr>
            <sz val="9"/>
            <color indexed="81"/>
            <rFont val="Tahoma"/>
            <family val="2"/>
          </rPr>
          <t xml:space="preserve">
</t>
        </r>
        <r>
          <rPr>
            <sz val="9"/>
            <color indexed="10"/>
            <rFont val="Tahoma"/>
            <family val="2"/>
          </rPr>
          <t>ANCPI = - 1.400
BV = - 1.416</t>
        </r>
      </text>
    </comment>
    <comment ref="AB193" authorId="0" shapeId="0" xr:uid="{00000000-0006-0000-0000-00000A000000}">
      <text>
        <r>
          <rPr>
            <b/>
            <sz val="9"/>
            <color indexed="81"/>
            <rFont val="Tahoma"/>
            <family val="2"/>
          </rPr>
          <t>Adrian:</t>
        </r>
        <r>
          <rPr>
            <sz val="9"/>
            <color indexed="81"/>
            <rFont val="Tahoma"/>
            <family val="2"/>
          </rPr>
          <t xml:space="preserve">
ANCPI = 2.403 auto
ANCPI = 2.244 extensie sistem infrastructura hardware teritorial
AG = 84 centrala
BH = 8 centrala telefonica
BH = 35 plotter A0 color
</t>
        </r>
        <r>
          <rPr>
            <sz val="9"/>
            <color indexed="10"/>
            <rFont val="Tahoma"/>
            <family val="2"/>
          </rPr>
          <t>BZ = - 2 calculatoare
MS = - 2 laptopuri</t>
        </r>
      </text>
    </comment>
    <comment ref="AC193" authorId="0" shapeId="0" xr:uid="{00000000-0006-0000-0000-00000B000000}">
      <text>
        <r>
          <rPr>
            <b/>
            <sz val="9"/>
            <color indexed="81"/>
            <rFont val="Tahoma"/>
            <family val="2"/>
          </rPr>
          <t>Adrian:</t>
        </r>
        <r>
          <rPr>
            <sz val="9"/>
            <color indexed="81"/>
            <rFont val="Tahoma"/>
            <family val="2"/>
          </rPr>
          <t xml:space="preserve">
AR = 51 (centrala telefonică + cazan apă 45kw + cazan apă 55kw)
BV = 70 centrala termică
BR = 55 stație totală</t>
        </r>
      </text>
    </comment>
    <comment ref="U194" authorId="0" shapeId="0" xr:uid="{00000000-0006-0000-0000-00000C000000}">
      <text>
        <r>
          <rPr>
            <b/>
            <sz val="9"/>
            <color indexed="81"/>
            <rFont val="Tahoma"/>
            <family val="2"/>
          </rPr>
          <t>Adrian:</t>
        </r>
        <r>
          <rPr>
            <sz val="9"/>
            <color indexed="81"/>
            <rFont val="Tahoma"/>
            <family val="2"/>
          </rPr>
          <t xml:space="preserve">
ANCPI
</t>
        </r>
        <r>
          <rPr>
            <sz val="9"/>
            <color indexed="10"/>
            <rFont val="Tahoma"/>
            <family val="2"/>
          </rPr>
          <t>ANCPI = - 1.400 sistem stocare DC</t>
        </r>
      </text>
    </comment>
    <comment ref="V194" authorId="0" shapeId="0" xr:uid="{00000000-0006-0000-0000-00000D000000}">
      <text>
        <r>
          <rPr>
            <b/>
            <sz val="9"/>
            <color indexed="81"/>
            <rFont val="Tahoma"/>
            <family val="2"/>
          </rPr>
          <t>Adrian:</t>
        </r>
        <r>
          <rPr>
            <sz val="9"/>
            <color indexed="81"/>
            <rFont val="Tahoma"/>
            <family val="2"/>
          </rPr>
          <t xml:space="preserve">
CNC</t>
        </r>
      </text>
    </comment>
    <comment ref="W194" authorId="0" shapeId="0" xr:uid="{00000000-0006-0000-0000-00000E000000}">
      <text>
        <r>
          <rPr>
            <b/>
            <sz val="9"/>
            <color indexed="81"/>
            <rFont val="Tahoma"/>
            <family val="2"/>
          </rPr>
          <t>Adrian:</t>
        </r>
        <r>
          <rPr>
            <sz val="9"/>
            <color indexed="81"/>
            <rFont val="Tahoma"/>
            <family val="2"/>
          </rPr>
          <t xml:space="preserve">
BV = 1.416 DR
</t>
        </r>
        <r>
          <rPr>
            <sz val="9"/>
            <color indexed="10"/>
            <rFont val="Tahoma"/>
            <family val="2"/>
          </rPr>
          <t>BV = - 1.416 DR</t>
        </r>
      </text>
    </comment>
    <comment ref="Z194" authorId="0" shapeId="0" xr:uid="{00000000-0006-0000-0000-00000F000000}">
      <text>
        <r>
          <rPr>
            <b/>
            <sz val="9"/>
            <color indexed="81"/>
            <rFont val="Tahoma"/>
            <family val="2"/>
          </rPr>
          <t>Adrian:</t>
        </r>
        <r>
          <rPr>
            <sz val="9"/>
            <color indexed="81"/>
            <rFont val="Tahoma"/>
            <family val="2"/>
          </rPr>
          <t xml:space="preserve">
ANCPI</t>
        </r>
      </text>
    </comment>
    <comment ref="AA194" authorId="0" shapeId="0" xr:uid="{00000000-0006-0000-0000-000010000000}">
      <text>
        <r>
          <rPr>
            <b/>
            <sz val="9"/>
            <color indexed="81"/>
            <rFont val="Tahoma"/>
            <family val="2"/>
          </rPr>
          <t>Adrian:</t>
        </r>
        <r>
          <rPr>
            <sz val="9"/>
            <color indexed="81"/>
            <rFont val="Tahoma"/>
            <family val="2"/>
          </rPr>
          <t xml:space="preserve">
GJ = 25
CNC = 605</t>
        </r>
      </text>
    </comment>
    <comment ref="AB194" authorId="0" shapeId="0" xr:uid="{00000000-0006-0000-0000-000011000000}">
      <text>
        <r>
          <rPr>
            <b/>
            <sz val="9"/>
            <color indexed="81"/>
            <rFont val="Tahoma"/>
            <family val="2"/>
          </rPr>
          <t>Adrian:</t>
        </r>
        <r>
          <rPr>
            <sz val="9"/>
            <color indexed="81"/>
            <rFont val="Tahoma"/>
            <family val="2"/>
          </rPr>
          <t xml:space="preserve">
ANCPI = 2.403 auto
ANCPI = 2.244 extensie sistem infrastructura hardware teritorial
AG = 84 centrala
BH = 8 centrala telefonica
BH = 35 plotter A0 color</t>
        </r>
      </text>
    </comment>
    <comment ref="AC194" authorId="0" shapeId="0" xr:uid="{00000000-0006-0000-0000-000012000000}">
      <text>
        <r>
          <rPr>
            <b/>
            <sz val="9"/>
            <color indexed="81"/>
            <rFont val="Tahoma"/>
            <family val="2"/>
          </rPr>
          <t>Adrian:</t>
        </r>
        <r>
          <rPr>
            <sz val="9"/>
            <color indexed="81"/>
            <rFont val="Tahoma"/>
            <family val="2"/>
          </rPr>
          <t xml:space="preserve">
AR = 51 (centrala telefonică + cazan apă 45kw + cazan apă 55kw)
BV = 70 centrala termică
BR = 55 stație totală</t>
        </r>
      </text>
    </comment>
    <comment ref="AA198" authorId="0" shapeId="0" xr:uid="{00000000-0006-0000-0000-000013000000}">
      <text>
        <r>
          <rPr>
            <b/>
            <sz val="9"/>
            <color indexed="81"/>
            <rFont val="Tahoma"/>
            <family val="2"/>
          </rPr>
          <t>Adrian:</t>
        </r>
        <r>
          <rPr>
            <sz val="9"/>
            <color indexed="81"/>
            <rFont val="Tahoma"/>
            <family val="2"/>
          </rPr>
          <t xml:space="preserve">
IS</t>
        </r>
      </text>
    </comment>
    <comment ref="AB199" authorId="0" shapeId="0" xr:uid="{00000000-0006-0000-0000-000014000000}">
      <text>
        <r>
          <rPr>
            <b/>
            <sz val="9"/>
            <color indexed="81"/>
            <rFont val="Tahoma"/>
            <family val="2"/>
          </rPr>
          <t>Adrian:</t>
        </r>
        <r>
          <rPr>
            <sz val="9"/>
            <color indexed="81"/>
            <rFont val="Tahoma"/>
            <family val="2"/>
          </rPr>
          <t xml:space="preserve">
BR = 35 consolidare si amenajare vladire birouri str. Justitiei nr.1</t>
        </r>
      </text>
    </comment>
    <comment ref="AC199" authorId="0" shapeId="0" xr:uid="{00000000-0006-0000-0000-000015000000}">
      <text>
        <r>
          <rPr>
            <b/>
            <sz val="9"/>
            <color indexed="81"/>
            <rFont val="Tahoma"/>
            <family val="2"/>
          </rPr>
          <t>Adrian:</t>
        </r>
        <r>
          <rPr>
            <sz val="9"/>
            <color indexed="81"/>
            <rFont val="Tahoma"/>
            <family val="2"/>
          </rPr>
          <t xml:space="preserve">
TL = 1.360 (ponton + curier)</t>
        </r>
      </text>
    </comment>
    <comment ref="Z200" authorId="0" shapeId="0" xr:uid="{00000000-0006-0000-0000-000016000000}">
      <text>
        <r>
          <rPr>
            <b/>
            <sz val="9"/>
            <color indexed="81"/>
            <rFont val="Tahoma"/>
            <family val="2"/>
          </rPr>
          <t>Adrian:</t>
        </r>
        <r>
          <rPr>
            <sz val="9"/>
            <color indexed="81"/>
            <rFont val="Tahoma"/>
            <family val="2"/>
          </rPr>
          <t xml:space="preserve">
BR = 218
MM = 100
TL = 950
</t>
        </r>
        <r>
          <rPr>
            <sz val="9"/>
            <color indexed="10"/>
            <rFont val="Tahoma"/>
            <family val="2"/>
          </rPr>
          <t>TL = -950</t>
        </r>
      </text>
    </comment>
    <comment ref="AB200" authorId="0" shapeId="0" xr:uid="{00000000-0006-0000-0000-000017000000}">
      <text>
        <r>
          <rPr>
            <b/>
            <sz val="9"/>
            <color indexed="81"/>
            <rFont val="Tahoma"/>
            <family val="2"/>
          </rPr>
          <t>Adrian:</t>
        </r>
        <r>
          <rPr>
            <sz val="9"/>
            <color indexed="81"/>
            <rFont val="Tahoma"/>
            <family val="2"/>
          </rPr>
          <t xml:space="preserve">
BR = 35 consolidare si amenajare vladire birouri str. Justitiei nr.1</t>
        </r>
      </text>
    </comment>
    <comment ref="T347" authorId="0" shapeId="0" xr:uid="{00000000-0006-0000-0000-000018000000}">
      <text>
        <r>
          <rPr>
            <b/>
            <sz val="9"/>
            <color indexed="81"/>
            <rFont val="Tahoma"/>
            <family val="2"/>
          </rPr>
          <t>Adrian:</t>
        </r>
        <r>
          <rPr>
            <sz val="9"/>
            <color indexed="81"/>
            <rFont val="Tahoma"/>
            <family val="2"/>
          </rPr>
          <t xml:space="preserve">
înregistrare sistematică: 45.095</t>
        </r>
      </text>
    </comment>
  </commentList>
</comments>
</file>

<file path=xl/sharedStrings.xml><?xml version="1.0" encoding="utf-8"?>
<sst xmlns="http://schemas.openxmlformats.org/spreadsheetml/2006/main" count="2460" uniqueCount="546">
  <si>
    <t>MINISTERUL LUCRĂRILOR PUBLICE, DEZVOLTĂRII ȘI ADMINISTRAȚIEI</t>
  </si>
  <si>
    <t>SE APROBĂ,</t>
  </si>
  <si>
    <t>ORDONATOR PRINCIPAL DE CREDITE</t>
  </si>
  <si>
    <t>MINISTRUL LUCRĂRILOR PUBLICE, DEZVOLTĂRII ȘI ADMINISTRATIEI</t>
  </si>
  <si>
    <t>Ion ȘTEFAN</t>
  </si>
  <si>
    <t xml:space="preserve">                                                    AGENȚIA NAȚIONALĂ DE CADASTRU ȘI PUBLICITATE IMOBILIARĂ</t>
  </si>
  <si>
    <t>AVIZAT,</t>
  </si>
  <si>
    <t>SECRETAR GENERAL ADJUNCT</t>
  </si>
  <si>
    <t xml:space="preserve">                                                     Buget de venituri și cheltuieli pe anul 2020</t>
  </si>
  <si>
    <t>BUGET CENTRALIZAT</t>
  </si>
  <si>
    <t>SUBVENȚII DE LA BUGETUL STATULUI</t>
  </si>
  <si>
    <t>VENITURI PROPRII PNCCF</t>
  </si>
  <si>
    <t>VENITURI PROPRII - activitate curentă</t>
  </si>
  <si>
    <t>VENITURI PROPRII</t>
  </si>
  <si>
    <t>Capi-tol</t>
  </si>
  <si>
    <t>Sub-capi-tol</t>
  </si>
  <si>
    <t>Para-graf</t>
  </si>
  <si>
    <t>Grupa/titlu</t>
  </si>
  <si>
    <t>Arti-col</t>
  </si>
  <si>
    <t>Ali-neat</t>
  </si>
  <si>
    <t>Denumire indicator</t>
  </si>
  <si>
    <t>Cod</t>
  </si>
  <si>
    <t>C.A.               /                             C.B.</t>
  </si>
  <si>
    <t>Total</t>
  </si>
  <si>
    <t>din care,</t>
  </si>
  <si>
    <t>MII LEI</t>
  </si>
  <si>
    <t>din total an, din care,</t>
  </si>
  <si>
    <t>Trim 1</t>
  </si>
  <si>
    <t>Trim 2</t>
  </si>
  <si>
    <t>Trim 3</t>
  </si>
  <si>
    <t>Trim 4</t>
  </si>
  <si>
    <t>TOTAL</t>
  </si>
  <si>
    <t>0001</t>
  </si>
  <si>
    <t>10</t>
  </si>
  <si>
    <t>VENITURI PROPRII TOTAL VENITURI</t>
  </si>
  <si>
    <t>0001.10</t>
  </si>
  <si>
    <t>0002</t>
  </si>
  <si>
    <t xml:space="preserve">I.Venituri curente </t>
  </si>
  <si>
    <t>0002.10</t>
  </si>
  <si>
    <t>2900</t>
  </si>
  <si>
    <t>C.Venituri nefiscale</t>
  </si>
  <si>
    <t>2900.10</t>
  </si>
  <si>
    <t>3300</t>
  </si>
  <si>
    <t>C2.Vanzari de bunuri si servicii</t>
  </si>
  <si>
    <t>3310</t>
  </si>
  <si>
    <t>Venituri din prestari servicii si alte activitati</t>
  </si>
  <si>
    <t>08</t>
  </si>
  <si>
    <t xml:space="preserve">Venituri din prestari servicii  </t>
  </si>
  <si>
    <t>3310.08</t>
  </si>
  <si>
    <t>3610</t>
  </si>
  <si>
    <t>Diverse venituri</t>
  </si>
  <si>
    <t>36,10</t>
  </si>
  <si>
    <t>50</t>
  </si>
  <si>
    <t>Alte venituri</t>
  </si>
  <si>
    <t>3610.50</t>
  </si>
  <si>
    <t>IV. SUBVENTII</t>
  </si>
  <si>
    <t>4310</t>
  </si>
  <si>
    <t>SUBVENTII DE LA ALTE ADMINISTRATII</t>
  </si>
  <si>
    <t>09</t>
  </si>
  <si>
    <t>Subventii pentru institutii publice</t>
  </si>
  <si>
    <t>4310.09</t>
  </si>
  <si>
    <t>4810</t>
  </si>
  <si>
    <t>SUME PRIMITE DE LA UE/ALTI DONATORI IN CONTUL PLATILOR EFECTUATE SI PREFINANTARI AFERENTE CADRULUI FINANCIAR 2014-2020</t>
  </si>
  <si>
    <t>16</t>
  </si>
  <si>
    <t>Alte facilități și instrumente postaderare</t>
  </si>
  <si>
    <t>4810.16</t>
  </si>
  <si>
    <t>03</t>
  </si>
  <si>
    <t>Prefinanțări</t>
  </si>
  <si>
    <t>4810.16.03</t>
  </si>
  <si>
    <t>5010</t>
  </si>
  <si>
    <t>VENITURI PROPRII - TOTAL CHELTUIELI</t>
  </si>
  <si>
    <t>5001</t>
  </si>
  <si>
    <t>I</t>
  </si>
  <si>
    <t>II</t>
  </si>
  <si>
    <t>01</t>
  </si>
  <si>
    <t>CHELTUIELI CURENTE</t>
  </si>
  <si>
    <t>5001.01</t>
  </si>
  <si>
    <t>TITLUL I CHELTUIELI DE PERSONAL</t>
  </si>
  <si>
    <t>5001.10</t>
  </si>
  <si>
    <t>20</t>
  </si>
  <si>
    <t>TITLUL II BUNURI SI SERVICII</t>
  </si>
  <si>
    <t>5001.20</t>
  </si>
  <si>
    <t>51</t>
  </si>
  <si>
    <t>TITLUL VI TRANSFERURI INTRE UNITATI ALE ADMINISTRATIEI PUBLICE</t>
  </si>
  <si>
    <t>5001.51</t>
  </si>
  <si>
    <t>58</t>
  </si>
  <si>
    <t>TITLUL X PROIECTE CU FINANTARE DIN FORNDURI EXTERNE NERAMBURSABILE AFERENTE CADRULUI FINANCIAR 2014-2020</t>
  </si>
  <si>
    <t>5001.58</t>
  </si>
  <si>
    <t>59</t>
  </si>
  <si>
    <t>Titlul XI Alte cheltuieli</t>
  </si>
  <si>
    <t>5001.59</t>
  </si>
  <si>
    <t>70</t>
  </si>
  <si>
    <t>CHELTUIELI DE CAPITAL</t>
  </si>
  <si>
    <t>5001.70</t>
  </si>
  <si>
    <t>71</t>
  </si>
  <si>
    <t>TITLUL XIII ACTIVE NEFINANCIARE</t>
  </si>
  <si>
    <t>5001.71</t>
  </si>
  <si>
    <t>5110</t>
  </si>
  <si>
    <t>AUTORITATI PUBLICE ŞI ACŢIUNI EXTERNE</t>
  </si>
  <si>
    <t>5110.01.03</t>
  </si>
  <si>
    <t>Cheltuieli salariale in bani</t>
  </si>
  <si>
    <t>10,01</t>
  </si>
  <si>
    <t>Salarii de bază</t>
  </si>
  <si>
    <t>10,01,01</t>
  </si>
  <si>
    <t>05</t>
  </si>
  <si>
    <t>Sporuri pentru condiţii de muncă</t>
  </si>
  <si>
    <t>10,01,05</t>
  </si>
  <si>
    <t>06</t>
  </si>
  <si>
    <t>Alte sporuri</t>
  </si>
  <si>
    <t>10,01,06</t>
  </si>
  <si>
    <t>07</t>
  </si>
  <si>
    <t>Ore suplimentare</t>
  </si>
  <si>
    <t>10,01,07</t>
  </si>
  <si>
    <t>Fond de premii</t>
  </si>
  <si>
    <t>10,01,08</t>
  </si>
  <si>
    <t>12</t>
  </si>
  <si>
    <t>Indemnizaţii plătite unor persoane din afara unităţii</t>
  </si>
  <si>
    <t>10,01,12</t>
  </si>
  <si>
    <t>13</t>
  </si>
  <si>
    <t>Drepturi de delegare</t>
  </si>
  <si>
    <t>10,01,13</t>
  </si>
  <si>
    <t>14</t>
  </si>
  <si>
    <t>Indemnizaţii de detaşare</t>
  </si>
  <si>
    <t>10,01,14</t>
  </si>
  <si>
    <t>Alocaţii pentru locuinţe</t>
  </si>
  <si>
    <t>10,01,16</t>
  </si>
  <si>
    <t>Indemnizații de hrană</t>
  </si>
  <si>
    <t>10,01,17</t>
  </si>
  <si>
    <t>30</t>
  </si>
  <si>
    <t>Alte drepturi salariale în bani</t>
  </si>
  <si>
    <t>10,01,30</t>
  </si>
  <si>
    <t>02</t>
  </si>
  <si>
    <t>Cheltuieli salariale în natură</t>
  </si>
  <si>
    <t>10,02</t>
  </si>
  <si>
    <t>Normă de hrană</t>
  </si>
  <si>
    <t>10,02,02</t>
  </si>
  <si>
    <t>Vouchere de vacanță</t>
  </si>
  <si>
    <t>10,02,06</t>
  </si>
  <si>
    <t>Contribuţii</t>
  </si>
  <si>
    <t>10,03</t>
  </si>
  <si>
    <t>Contribuţii de asigurări sociale de stat</t>
  </si>
  <si>
    <t>10,03,01</t>
  </si>
  <si>
    <t>Contribuţii de asigurări de şomaj</t>
  </si>
  <si>
    <t>10,03,02</t>
  </si>
  <si>
    <t>Contribuţii de asigurări sociale de sănătate</t>
  </si>
  <si>
    <t>10,03,03</t>
  </si>
  <si>
    <t>04</t>
  </si>
  <si>
    <t>Contribuţii de asigurări pentru accidente de muncă şi boli profesionale</t>
  </si>
  <si>
    <t>10,03,04</t>
  </si>
  <si>
    <t>Contribuţii pentru concedii şi indemnizaţii</t>
  </si>
  <si>
    <t>10,03,06</t>
  </si>
  <si>
    <t>Contribuția asiguratorie pentru muncă</t>
  </si>
  <si>
    <t>10.03.07</t>
  </si>
  <si>
    <t>Bunuri şi servicii</t>
  </si>
  <si>
    <t>20,01</t>
  </si>
  <si>
    <t>Furnituri de birou</t>
  </si>
  <si>
    <t>20,01,01</t>
  </si>
  <si>
    <t>Materiale pentru curăţenie</t>
  </si>
  <si>
    <t>20,01,02</t>
  </si>
  <si>
    <t>Incălzit, iluminat şi forţă motrică</t>
  </si>
  <si>
    <t>20,01,03</t>
  </si>
  <si>
    <t>Apă, canal şi salubritate</t>
  </si>
  <si>
    <t>20,01,04</t>
  </si>
  <si>
    <t xml:space="preserve">Carburanţi şi lubrifianţi </t>
  </si>
  <si>
    <t>20,01,05</t>
  </si>
  <si>
    <t>Piese de schimb</t>
  </si>
  <si>
    <t>20,01,06</t>
  </si>
  <si>
    <t>Transport</t>
  </si>
  <si>
    <t>20,01,07</t>
  </si>
  <si>
    <t>Poştă, telecomunicaţii, radio, tv, internet</t>
  </si>
  <si>
    <t>20,01,08</t>
  </si>
  <si>
    <t>Materiale şi prestări de servicii cu caracter funcţional</t>
  </si>
  <si>
    <t>20,01,09</t>
  </si>
  <si>
    <t>Alte bunuri şi servicii pentru întreţinere şi funcţionare</t>
  </si>
  <si>
    <t>20,01,30</t>
  </si>
  <si>
    <t>Reparatii curente</t>
  </si>
  <si>
    <t>20,02</t>
  </si>
  <si>
    <t>Bunuri de natura obiectelor de inventar</t>
  </si>
  <si>
    <t>20,05</t>
  </si>
  <si>
    <t>Alte obiecte de inventar</t>
  </si>
  <si>
    <t>20,05,30</t>
  </si>
  <si>
    <t>Deplasări, detaşări, transferări</t>
  </si>
  <si>
    <t>20,06</t>
  </si>
  <si>
    <t>Deplasări interne, detaşări, transferări</t>
  </si>
  <si>
    <t>20,06,01</t>
  </si>
  <si>
    <t>Deplasări în străinătate</t>
  </si>
  <si>
    <t>20,06,02</t>
  </si>
  <si>
    <t>11</t>
  </si>
  <si>
    <t>Cărţi, publicaţii şi materiale documentare</t>
  </si>
  <si>
    <t>20,11</t>
  </si>
  <si>
    <t>Consultanță și expertiză</t>
  </si>
  <si>
    <t>20,12</t>
  </si>
  <si>
    <t>Pregătire profesională</t>
  </si>
  <si>
    <t>20,13</t>
  </si>
  <si>
    <t>Protecţia muncii</t>
  </si>
  <si>
    <t>20,14</t>
  </si>
  <si>
    <t>25</t>
  </si>
  <si>
    <t>Cheltuieli judiciare șI extrajudiciare derivate din acțiuni în reprezentarea intereselor statului, potrivit dispozițiilor legale</t>
  </si>
  <si>
    <t>20,25</t>
  </si>
  <si>
    <t>Alte cheltuieli</t>
  </si>
  <si>
    <t>20,30</t>
  </si>
  <si>
    <t>Reclamă şi publicitate</t>
  </si>
  <si>
    <t>20,30,01</t>
  </si>
  <si>
    <t>Protocol şi reprezentare</t>
  </si>
  <si>
    <t>20,30,02</t>
  </si>
  <si>
    <t>Prime de asigurare non-viață</t>
  </si>
  <si>
    <t>20,30,03</t>
  </si>
  <si>
    <t>Chirii</t>
  </si>
  <si>
    <t>20,30,04</t>
  </si>
  <si>
    <t>Alte cheltuieli cu bunuri şi servicii</t>
  </si>
  <si>
    <t>20,30,30</t>
  </si>
  <si>
    <t>51.01</t>
  </si>
  <si>
    <t>Transferuri catre institutii publice</t>
  </si>
  <si>
    <t>51.01.01</t>
  </si>
  <si>
    <t>Transferuri pentru finanțarea lucrărilor de înregistrare sistematică din cadrul Programului național de cadastru și carte funciară</t>
  </si>
  <si>
    <t>51.01.67</t>
  </si>
  <si>
    <t>TITLUL X PROIECTE CU FINANTARE DIN FONDURI EXTERNE NERAMBURSABILE AFERENTE CADRULUI FINANCIAR 2014-2020</t>
  </si>
  <si>
    <t>PROGRAME DIN FONDUL EUROPEAN DE DEZVOLTARE REGIONALÂ (FEDR)</t>
  </si>
  <si>
    <t>58.01</t>
  </si>
  <si>
    <t>Finațare națională</t>
  </si>
  <si>
    <t>58.01.01</t>
  </si>
  <si>
    <t>Finanțare externă nerambursabilă</t>
  </si>
  <si>
    <t>58.01.02</t>
  </si>
  <si>
    <t>Cheltuieli neeligibile</t>
  </si>
  <si>
    <t>58.01.03</t>
  </si>
  <si>
    <t>ALTE FACILITĂȚI ȘI INSTRUMENTE POSTADERARE 2014-2020</t>
  </si>
  <si>
    <t>58.16</t>
  </si>
  <si>
    <t>58.16.01</t>
  </si>
  <si>
    <t>58.16.02</t>
  </si>
  <si>
    <t>58.16.03</t>
  </si>
  <si>
    <t>17</t>
  </si>
  <si>
    <t>Despăgubiri civile</t>
  </si>
  <si>
    <t>59.17</t>
  </si>
  <si>
    <t>40</t>
  </si>
  <si>
    <t>Sume aferente persoanelor cu handicap neîncadrate</t>
  </si>
  <si>
    <t>59.40</t>
  </si>
  <si>
    <t>42</t>
  </si>
  <si>
    <t>Indemnizații acordate părinților pentru supravegherea copiilor pe perioada închiderii temporare a unităților de învățământ</t>
  </si>
  <si>
    <t>59.42</t>
  </si>
  <si>
    <t xml:space="preserve">Active fixe </t>
  </si>
  <si>
    <t>71,01</t>
  </si>
  <si>
    <t>Construcţii</t>
  </si>
  <si>
    <t>71,01,01</t>
  </si>
  <si>
    <t>Masini, echipamente si mijloace de transport</t>
  </si>
  <si>
    <t>71,01,02</t>
  </si>
  <si>
    <t>Mobilier, aparatura birotica si alte active corporale</t>
  </si>
  <si>
    <t>71,01,03</t>
  </si>
  <si>
    <t xml:space="preserve">Alte active </t>
  </si>
  <si>
    <t>71,01,30</t>
  </si>
  <si>
    <t>Reparații capitale</t>
  </si>
  <si>
    <t>Autorităţi executive şi legislative</t>
  </si>
  <si>
    <t>Autorităţi executive</t>
  </si>
  <si>
    <t>51.01.03</t>
  </si>
  <si>
    <t>TOTAL VENITURI</t>
  </si>
  <si>
    <t>III. OPERAȚIUNI FINANCIARE</t>
  </si>
  <si>
    <t>4008</t>
  </si>
  <si>
    <t>ÎNCASĂRI DIN RAMBURSAREA ÎMPRUMUTURILOR ACORDATE</t>
  </si>
  <si>
    <t>40.08</t>
  </si>
  <si>
    <t>15</t>
  </si>
  <si>
    <t>Sume utilizate de alte instituții din excedentul anului precedent</t>
  </si>
  <si>
    <t>40.08.15</t>
  </si>
  <si>
    <t>4208</t>
  </si>
  <si>
    <t>SUBVENȚII DE LA BUGETUL DE STAT</t>
  </si>
  <si>
    <t>42.08</t>
  </si>
  <si>
    <t>60</t>
  </si>
  <si>
    <t>Cofinanțare publică acordată în cadrul mecanismului SEE</t>
  </si>
  <si>
    <t>4208.60</t>
  </si>
  <si>
    <t>4508</t>
  </si>
  <si>
    <t>SUME PRIMITE DE LA UE/ALȚI DONATORI ÎN CONTUL PLĂȚILOR EFECTUATE ȘI PREFINANȚĂRI</t>
  </si>
  <si>
    <t>45.08</t>
  </si>
  <si>
    <t>Mecanism financiar SEE</t>
  </si>
  <si>
    <t>4508.17</t>
  </si>
  <si>
    <t>5008</t>
  </si>
  <si>
    <t>FONDURI EXTERNE NERAMBURSABILE</t>
  </si>
  <si>
    <t>50,08</t>
  </si>
  <si>
    <t>56</t>
  </si>
  <si>
    <t>TITLUL VIII PROIECTE CU FINANTARE DIN FONDURI EXTERNE NERAMBURSABILE (FEN) POSTADERARE</t>
  </si>
  <si>
    <t>ACȚIUNI GENERALE ECONOMICE, COMERCIALE ȘI DE MUNCĂ</t>
  </si>
  <si>
    <t>80,08</t>
  </si>
  <si>
    <t>Mecanismul financiar SEE</t>
  </si>
  <si>
    <t>Finanţare naţională</t>
  </si>
  <si>
    <t>Finanţare externă nerambursabilă</t>
  </si>
  <si>
    <t>DIRECTOR GENERAL</t>
  </si>
  <si>
    <t>DIRECTOR GENERAL ADJUNCT</t>
  </si>
  <si>
    <t>DIRECTOR ECONOMIC</t>
  </si>
  <si>
    <t>Șef Serviciu Buget</t>
  </si>
  <si>
    <t>Alexandru Laurențiu BLAGA</t>
  </si>
  <si>
    <t>Alexandru Lucian FEȘTILĂ</t>
  </si>
  <si>
    <t>Monica Paula CLEPȘA</t>
  </si>
  <si>
    <t>Silviu Valentin RĂDUȚĂ</t>
  </si>
  <si>
    <t>AVIZAT</t>
  </si>
  <si>
    <t>MINISTERUL LUCRĂRILOR PUBLICE, DEZVOLTĂRII ȘI ADMINISTRAŢIEI</t>
  </si>
  <si>
    <t>Direcţia Generală Management Financiar, Resurse Umane şi Administrativ</t>
  </si>
  <si>
    <t>Director General</t>
  </si>
  <si>
    <t>Şef Serviciu Buget</t>
  </si>
  <si>
    <t>Melania RUSNAC</t>
  </si>
  <si>
    <t xml:space="preserve">Oana Sachelari </t>
  </si>
  <si>
    <t>AGENȚIA NAȚIONALĂ DE CADASTRU ȘI PUBLICITATE IMOBILIARĂ - CENTRALIZAT</t>
  </si>
  <si>
    <t>Buget de venituri și cheltuieli pe anul 2020</t>
  </si>
  <si>
    <t>LEI</t>
  </si>
  <si>
    <t>PNCCF</t>
  </si>
  <si>
    <t>MINISTERUL (Instituţia): Ministerul Lucărilor Pulblice, Dezvoltării și Administrației</t>
  </si>
  <si>
    <t>Agenția Naționala de Cadastru și Publicitate Imobiliară</t>
  </si>
  <si>
    <t>Cod: ………</t>
  </si>
  <si>
    <t xml:space="preserve">FORMULAR </t>
  </si>
  <si>
    <t>28</t>
  </si>
  <si>
    <t xml:space="preserve">     I - Credite de angajament</t>
  </si>
  <si>
    <t xml:space="preserve">    II - Credite bugetare</t>
  </si>
  <si>
    <t>Marius - Mihai VASILIU</t>
  </si>
  <si>
    <t xml:space="preserve">PROGRAMUL DE INVESTIŢII PUBLICE </t>
  </si>
  <si>
    <t>PE GRUPE DE INVESTIŢII ŞI SURSE DE FINANŢARE *)</t>
  </si>
  <si>
    <t>- mii lei  -</t>
  </si>
  <si>
    <t>CAPITOL/</t>
  </si>
  <si>
    <t>I/II</t>
  </si>
  <si>
    <t>CHELTUIELI</t>
  </si>
  <si>
    <t>EXECUTIE PRELIMINATA 2019</t>
  </si>
  <si>
    <t>BUGET 2020</t>
  </si>
  <si>
    <t xml:space="preserve"> ESTIMARI 2021</t>
  </si>
  <si>
    <t xml:space="preserve"> ESTIMARI 2022</t>
  </si>
  <si>
    <t>ESTIMARI 2023</t>
  </si>
  <si>
    <t>Estimari anii ulteriori</t>
  </si>
  <si>
    <t>GRUPA/</t>
  </si>
  <si>
    <t>EFECTUATE</t>
  </si>
  <si>
    <t>SURSA</t>
  </si>
  <si>
    <t>până la</t>
  </si>
  <si>
    <t>31.12.2018</t>
  </si>
  <si>
    <t>2=3+...+9</t>
  </si>
  <si>
    <t>TOTAL GENERAL</t>
  </si>
  <si>
    <t xml:space="preserve"> 1. Total surse de finanţare</t>
  </si>
  <si>
    <t xml:space="preserve"> 01 Buget de stat</t>
  </si>
  <si>
    <t xml:space="preserve">     din care:</t>
  </si>
  <si>
    <t xml:space="preserve">      58. Proiecte cu finanțare din fonduri externe nerambursabile aferente cadrului financiar 2014-2020</t>
  </si>
  <si>
    <t>10 Venituri proprii</t>
  </si>
  <si>
    <t xml:space="preserve">      71 Active nefinanciare</t>
  </si>
  <si>
    <t xml:space="preserve">           10 Venituri proprii - activitate curentă</t>
  </si>
  <si>
    <t xml:space="preserve">           10 Venituri proprii - PNCCF</t>
  </si>
  <si>
    <t>A. Obiective (proiecte) de investiţii în continuare</t>
  </si>
  <si>
    <t>Construcție scară acces și evacuare sediu OCPI Braila</t>
  </si>
  <si>
    <t>71.01.01</t>
  </si>
  <si>
    <t>Construcție sediu OCPI Caraș-Severin</t>
  </si>
  <si>
    <t xml:space="preserve">Extindere sediu OCPI Gorj </t>
  </si>
  <si>
    <t>Constructie sediu administrativ OCPI Cluj</t>
  </si>
  <si>
    <t xml:space="preserve">            10 Venituri proprii - PNCCF</t>
  </si>
  <si>
    <t xml:space="preserve">B. Obiective (proiecte) de investiţii noi </t>
  </si>
  <si>
    <t xml:space="preserve">C. Alte cheltuieli de investiţii </t>
  </si>
  <si>
    <t>lit.a) "Achizitii de imobile, inclusiv terenuri"</t>
  </si>
  <si>
    <t>lit.b) "Dotari independente"</t>
  </si>
  <si>
    <t>Scannere - tip1 (A4)</t>
  </si>
  <si>
    <t>71.01.02</t>
  </si>
  <si>
    <t>Scannere - tip2 (A0)</t>
  </si>
  <si>
    <t>Servere</t>
  </si>
  <si>
    <t>Soluții de stocare</t>
  </si>
  <si>
    <t>Stații de lucru</t>
  </si>
  <si>
    <t>Imprimante multifuncționale - (A3 color)</t>
  </si>
  <si>
    <t>Calculator tip 1 - OCPI Alba</t>
  </si>
  <si>
    <t>Calculator tip 2 - OCPI Alba</t>
  </si>
  <si>
    <t>Laptop - OCPI Alba</t>
  </si>
  <si>
    <t>Imprimantă A3 color - OCPI Alba</t>
  </si>
  <si>
    <t>Autoturism - OCPI Alba</t>
  </si>
  <si>
    <t>Laptop tip 1 - OCPI Arad</t>
  </si>
  <si>
    <t>Laptop tip 2 - OCPI Arad</t>
  </si>
  <si>
    <t>Calculator tip 1 - OCPI Arad</t>
  </si>
  <si>
    <t>Calculator tip 2 - OCPI Arad</t>
  </si>
  <si>
    <t>Autoturism - OCPI Arad</t>
  </si>
  <si>
    <t>Centrală telefonică - OCPI Arad</t>
  </si>
  <si>
    <t>Cazan apă caldă cu gazeificare 45kw pentru BCPI Gurahonț - OCPI Arad</t>
  </si>
  <si>
    <t>Cazan apă caldă cu gazeificare 55kw pentru BCPI Lipova - OCPI Arad</t>
  </si>
  <si>
    <t>Calculator - OCPI Argeș</t>
  </si>
  <si>
    <t>Centrală termică murală în condensare - OCPI Argeș</t>
  </si>
  <si>
    <t>Autoturism - OCPI Argeș</t>
  </si>
  <si>
    <t>Calculator/laptop tip 2 - OCPI Argeș</t>
  </si>
  <si>
    <t>Calculator - OCPI Bacău</t>
  </si>
  <si>
    <t>Calculator/laptop - OCPI Bihor</t>
  </si>
  <si>
    <t>Sistem telefonic de răspuns automat (auto attendant) - OCPI Bihor</t>
  </si>
  <si>
    <t>Plotter A0 color - OCPI Bihor</t>
  </si>
  <si>
    <t>Autoturism - OCPI Bihor</t>
  </si>
  <si>
    <t>Calculator - OCPI Bistrița - Năsăud</t>
  </si>
  <si>
    <t>Modul radio intern pentru stații topografice GPS - SISTEM GNSS - OCPI Bistrița - Năsăud</t>
  </si>
  <si>
    <t>Calculator - OCPI Botoșani</t>
  </si>
  <si>
    <t>Autoturism - OCPI Botoșani</t>
  </si>
  <si>
    <t>Calculator - OCPI Brașov</t>
  </si>
  <si>
    <t>Laptop - OCPI Brașov</t>
  </si>
  <si>
    <t>Centrală termică - OCPI Brașov</t>
  </si>
  <si>
    <t>Calculator - OCPI Brăila</t>
  </si>
  <si>
    <t>Laptop - OCPI Brăila</t>
  </si>
  <si>
    <t>Stație totală - OCPI Brăila</t>
  </si>
  <si>
    <t>Calculator - OCPI București</t>
  </si>
  <si>
    <t>Laptop - OCPI București</t>
  </si>
  <si>
    <t>Calculator - OCPI Buzău</t>
  </si>
  <si>
    <t>Autoturism - OCPI Buzău</t>
  </si>
  <si>
    <t>Calculator - OCPI Caraș - Severin</t>
  </si>
  <si>
    <t>Laptop - OCPI Caraș - Severin</t>
  </si>
  <si>
    <t>Calculator - OCPI Călărași</t>
  </si>
  <si>
    <t>Laptop - OCPI Călărași</t>
  </si>
  <si>
    <t>Autoturism - OCPI Călarași</t>
  </si>
  <si>
    <t>Calculator tip 1 - OCPI Cluj</t>
  </si>
  <si>
    <t>Calculator tip 2 - OCPI Cluj</t>
  </si>
  <si>
    <t>Laptop - OCPI Cluj</t>
  </si>
  <si>
    <t>Calculator - OCPI Constanța</t>
  </si>
  <si>
    <t>Autoturism - OCPI Constanța</t>
  </si>
  <si>
    <t>Calculator - OCPI Covasna</t>
  </si>
  <si>
    <t>Laptop - OCPI Covasna</t>
  </si>
  <si>
    <t>Calculator - OCPI Dâmbovița</t>
  </si>
  <si>
    <t>Laptop - OCPI Dâmbovița</t>
  </si>
  <si>
    <t>Autoturism - OCPI Dâmbovița</t>
  </si>
  <si>
    <t>Calculator - OCPI Dolj</t>
  </si>
  <si>
    <t>Laptop - OCPI Dolj</t>
  </si>
  <si>
    <t>Calculator - OCPI Galați</t>
  </si>
  <si>
    <t>Laptop - OCPI Galați</t>
  </si>
  <si>
    <t>Calculator desktop - OCPI Giurgiu</t>
  </si>
  <si>
    <t>Laptop - OCPI Giurgiu</t>
  </si>
  <si>
    <t>Autoturism - OCPI Giurgiu</t>
  </si>
  <si>
    <t>UPS 5000VA/4500W OCPI Gorj</t>
  </si>
  <si>
    <t>Laptop tip 1 - OCPI Gorj</t>
  </si>
  <si>
    <t>Laptop tip 2 - OCPI Gorj</t>
  </si>
  <si>
    <t>Laptop tip 3 - OCPI Gorj</t>
  </si>
  <si>
    <t>Calculator - OCPI Gorj</t>
  </si>
  <si>
    <t>Autoturism - OCPI Gorj</t>
  </si>
  <si>
    <t>Calculator - OCPI Harghita</t>
  </si>
  <si>
    <t>Calculator tip 1 - OCPI Hunedoara</t>
  </si>
  <si>
    <t>Calculator tip 2 - OCPI Hunedoara</t>
  </si>
  <si>
    <t>Calculator - OCPI Ialomița</t>
  </si>
  <si>
    <t>Laptop tip 1 - OCPI Iași</t>
  </si>
  <si>
    <t>Laptop tip 2 - OCPI Iași</t>
  </si>
  <si>
    <t>Laptop - OCPI Ilfov</t>
  </si>
  <si>
    <t>Autoturism - OCPI Ilfov</t>
  </si>
  <si>
    <t>Calculator - OCPI Maramureș</t>
  </si>
  <si>
    <t>Laptop - OCPI Maramureș</t>
  </si>
  <si>
    <t>Laptop tip 1 - OCPI Mehedinți</t>
  </si>
  <si>
    <t>Laptop tip 2 - OCPI Mehedinți</t>
  </si>
  <si>
    <t>Laptop - OCPI Mureș</t>
  </si>
  <si>
    <t>Autoturism - OCPI Mureș</t>
  </si>
  <si>
    <t>Calculator - OCPI Neamț</t>
  </si>
  <si>
    <t>Autoturism - OCPI Neamț</t>
  </si>
  <si>
    <t>Calculator tip 1 - OCPI Olt</t>
  </si>
  <si>
    <t>Calculator tip 2 - OCPI Olt</t>
  </si>
  <si>
    <t>Laptop - OCPI Olt</t>
  </si>
  <si>
    <t>Calculator - OCPI Prahova</t>
  </si>
  <si>
    <t>Autoturism - OCPI Prahova</t>
  </si>
  <si>
    <t>Calculator - OCPI Satu - Mare</t>
  </si>
  <si>
    <t>Calculator - OCPI Sălaj</t>
  </si>
  <si>
    <t>Calculator - OCPI Sibiu</t>
  </si>
  <si>
    <t>Autoturism - OCPI Sibiu</t>
  </si>
  <si>
    <t>Calculator - OCPI Suceava</t>
  </si>
  <si>
    <t>Laptop - OCPI Suceava</t>
  </si>
  <si>
    <t>Calculator - OCPI Teleorman</t>
  </si>
  <si>
    <t>Calculator - OCPI Timiș</t>
  </si>
  <si>
    <t>Calculator - OCPI Tulcea</t>
  </si>
  <si>
    <t>Laptop - OCPI Tulcea</t>
  </si>
  <si>
    <t>Autoturism - OCPI Tulcea</t>
  </si>
  <si>
    <t>Laptop - OCPI Vaslui</t>
  </si>
  <si>
    <t>Calculator tip 1 - OCPI Vaslui</t>
  </si>
  <si>
    <t>Calculator tip 2 - OCPI Vaslui</t>
  </si>
  <si>
    <t>Calculator tip 3 - OCPI Vaslui</t>
  </si>
  <si>
    <t>Calculator - OCPI Vâlcea</t>
  </si>
  <si>
    <t>Laptop - OCPI Vâlcea</t>
  </si>
  <si>
    <t>Autoturism - OCPI Vâlcea</t>
  </si>
  <si>
    <t>Calculator - OCPI Vrancea</t>
  </si>
  <si>
    <t>Autoturism - OCPI Vrancea</t>
  </si>
  <si>
    <t>Printer Ink A0 4 role CNC</t>
  </si>
  <si>
    <t>Multifunctional Ink A0 4 role CNC</t>
  </si>
  <si>
    <t>Calculator - CNC</t>
  </si>
  <si>
    <t>Laptop - CNC</t>
  </si>
  <si>
    <t>Autoturism - CNC</t>
  </si>
  <si>
    <t>Extensie - sistem infrastructură hardware (teritorial) ANCPI</t>
  </si>
  <si>
    <t>Sistem prelucrare informații clasificate (unitate centrală+monitor) - ANCPI</t>
  </si>
  <si>
    <t>Imprimantă multifuncțională laser color A3 - ANCPI</t>
  </si>
  <si>
    <t>Autoturisme - ANCPI</t>
  </si>
  <si>
    <t>Dotare DR - sistem climatizare OCPI Brașov</t>
  </si>
  <si>
    <t>Dotare DR - sistem alimentare curent electric OCPI Brașov</t>
  </si>
  <si>
    <t>Dotare DR - echipamente - rack, smart aisle, conectica OCPI Brașov</t>
  </si>
  <si>
    <t>Pachet upgrade retea si servere CNC</t>
  </si>
  <si>
    <t>SP GPS CNC</t>
  </si>
  <si>
    <t>Sistem de stocare - DC ANCPI</t>
  </si>
  <si>
    <t>Echipament criptografic (HSM) ANCPI</t>
  </si>
  <si>
    <t>GPS RTK CNC</t>
  </si>
  <si>
    <t>Gravimetru absolut CNC</t>
  </si>
  <si>
    <t>Gravimetru relativ CNC</t>
  </si>
  <si>
    <t>GPS portabil PDA CNC</t>
  </si>
  <si>
    <t>Camere LIDAR CNC</t>
  </si>
  <si>
    <t>Statii grafice CNC</t>
  </si>
  <si>
    <t>Imprimante retea A4/A3 color CNC</t>
  </si>
  <si>
    <t>Upgrade retea si servere CNC</t>
  </si>
  <si>
    <t>Masina de pliat automat CNC</t>
  </si>
  <si>
    <t>71.01.03</t>
  </si>
  <si>
    <t>Utilaj plastifiere harti si planse CNC</t>
  </si>
  <si>
    <t>Plotter flatbed color de mari dimensiuni CNC</t>
  </si>
  <si>
    <t>Sistem IMac pentru tiparire CNC</t>
  </si>
  <si>
    <t>Instalatie dezumidificare CNC</t>
  </si>
  <si>
    <t>Masina indosariat electrica CNC</t>
  </si>
  <si>
    <t>Echipamente de finisat produse tiparite CNC</t>
  </si>
  <si>
    <t>Servere lamelare ANCPI</t>
  </si>
  <si>
    <t>Servere ANCPI</t>
  </si>
  <si>
    <t>Echipamente de retea - switch - DC ANCPI</t>
  </si>
  <si>
    <t>Echipamente de retea - router - tip 1 ANCPI</t>
  </si>
  <si>
    <t>Echipamente de retea - router - tip 2 ANCPI</t>
  </si>
  <si>
    <t>Echipamente de retea - router - tip 3 ANCPI</t>
  </si>
  <si>
    <t>Echipamente de retea - router - tip 4 ANCPI</t>
  </si>
  <si>
    <t>Statii de lucru ANCPI</t>
  </si>
  <si>
    <t>Multifunctionale, imprimante, plottere ANCPI</t>
  </si>
  <si>
    <t>Scanere ANCPI</t>
  </si>
  <si>
    <t>Copiatoare ANCPI</t>
  </si>
  <si>
    <t>Faxuri ANCPI</t>
  </si>
  <si>
    <t>Achiziție de echipamente noi pentru sistemul de baze de date Oracle ANCPI</t>
  </si>
  <si>
    <t>Laptop-uri ANCPI</t>
  </si>
  <si>
    <t>Sistem infrastructură hardware - teritorial ANCPI</t>
  </si>
  <si>
    <t>GPS ANCPI</t>
  </si>
  <si>
    <t>lit.c) "Cheltuieli pt. elaborarea studiilor de prefezabilitate, fezabilitate si a altor studii aferente obiectivelor de investitii, inclusiv cheltuieli necesare pentru obtinerea avizelor,autorizatiilor si acordurilor prevazute de lege"</t>
  </si>
  <si>
    <t>Studiu fezabilitate pentru construire Centru Regional pentru păstrarea fondului arhivistic  ANCPI</t>
  </si>
  <si>
    <t>Taxe pentru avize și acorduri pentru obiectivul „Construcție Centru Regional pentru păstrarea fondului arhivistic” ANCPI</t>
  </si>
  <si>
    <t>Studiu de fezabilitate Construcție sediu ANCPI/OCPI/CNC</t>
  </si>
  <si>
    <t>lit.d) "Cheltuieli de expertiza, proiectare, asistenta tehnica, pentru probe tehnologice si  teste si predare la beneficiar si de executare privind consolidarile si interventiile pentru prevenirea sau inlaturarea efectelor produse de actiunii accidentale si calamitati naturale - cutremure, inundatii, alunecari, prabusiri si tasari de teren, incendii, accidente tehnice, inclusiv cheltuieli necesare pentru obtinerea avizelor, autorizatiilor si acordurile prevazute de lege</t>
  </si>
  <si>
    <t>lit.e) "Lucrari de foraj, cartarea terenului, fotogrammetrie, determinari seismologice, consultanta, asistenta tehnica și alte cheltuieli de investiții ce nu se regăsesc la celelalte categorii</t>
  </si>
  <si>
    <t>Soft gestionare baza de date OCPI Iași</t>
  </si>
  <si>
    <t>71.01.30</t>
  </si>
  <si>
    <t>Aplicatie clickSIGN Ultimate - ANCPI</t>
  </si>
  <si>
    <t>Actualizare licențe existente Oracle ANCPI</t>
  </si>
  <si>
    <t xml:space="preserve">lit.f) "Cheltuieli de expertiza, proiectare, asistenta tehnica, pentru probe tehnologice si teste si predare la beneficiar si de executie privind reparatiile capitale, precum si alte categorii de lucrari de interventii, cu exceptia celor incluse la lit. d), asa cum sunt definite de legislatia in vigoare, inclusiv cheltuielile necesare pentru obtinerea avizelor, autorizatiilor si acordurilor prevazute de lege" </t>
  </si>
  <si>
    <t>Proiectare si expertiza tehnică lucrări reparatii capitale sediu BCPI Onesti, str. Mărăsesti nr. 21, mun Onesti - finantare faza DALI OCPI Bacău</t>
  </si>
  <si>
    <t>DALI și proiect  pentru Reparație capitală sediu OCPI Brăila str. Calea Călărașilor nr.27 OCPI Brăila</t>
  </si>
  <si>
    <t>Expertiză tehnică pentru lucrări abandonate - OCPI Caraș - Severin</t>
  </si>
  <si>
    <t>DALI realizare lucrări pentru obținerea autorizației de securitate la incendiu - OCPI Covasna</t>
  </si>
  <si>
    <t>PAC+PT+DE pentru „Extindere clădire sediu prin construirea unui corp clădire P+2” - OCPI Giurgiu</t>
  </si>
  <si>
    <t>DALI pentru reparație capitală la clădirea arhivei OCPI Tulcea - OCPI Tulcea</t>
  </si>
  <si>
    <t>Consolidare și amenajare clădire pentru birouri imobil str. Justiției nr.1 Municipiul Brăila, județul Brăila - OCPI BRĂILA</t>
  </si>
  <si>
    <t>71.03</t>
  </si>
  <si>
    <t>Lucrări necesare obținerii Autorizației de securitate la incendiu - OCPI Maramureș</t>
  </si>
  <si>
    <t>Reparatie capitala ponton dormitor OCPI Tulcea</t>
  </si>
  <si>
    <t>Reparatie capitala salupa „Curier” OCPI Tulcea</t>
  </si>
  <si>
    <t>Articol bugetar</t>
  </si>
  <si>
    <t>C.A/C.B</t>
  </si>
  <si>
    <t>Total, din care:</t>
  </si>
  <si>
    <t>Subvenții - POR (Titlul X - alin. 58.01)</t>
  </si>
  <si>
    <t>Venituri proprii - PNCCF</t>
  </si>
  <si>
    <t>Venituri proprii - ACTIVITATE CURENTĂ</t>
  </si>
  <si>
    <t xml:space="preserve">   PREȘEDINTE - DIRECTOR GENERAL</t>
  </si>
  <si>
    <t>Director Direcția Economică</t>
  </si>
  <si>
    <t xml:space="preserve">   Șef Serviciu Buget</t>
  </si>
  <si>
    <t xml:space="preserve">       Alexandru Laurențiu BLAGA</t>
  </si>
  <si>
    <t>Întocmit: Andrei ZĂVOI</t>
  </si>
  <si>
    <t>Şef Birou Buget și Execuție Bugetară</t>
  </si>
  <si>
    <t>activitate curentă</t>
  </si>
  <si>
    <t>din care:</t>
  </si>
  <si>
    <t>Cod indicator</t>
  </si>
  <si>
    <t>TOTAL               PLĂȚI</t>
  </si>
  <si>
    <t>AGENȚIA NAȚIONALĂ DE CADASTRU ȘI PUBLICITATE IMOBILIARĂ CENTRALIZAT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</si>
</sst>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62" x14ac:knownFonts="1">
    <font>
      <sz val="10"/>
      <color theme="1"/>
      <name val="Arial"/>
      <family val="2"/>
      <charset val="238"/>
    </font>
    <font>
      <sz val="11"/>
      <color indexed="8"/>
      <name val="Calibri"/>
      <family val="2"/>
    </font>
    <font>
      <sz val="11"/>
      <name val="Calibri"/>
      <family val="2"/>
    </font>
    <font>
      <b/>
      <sz val="22"/>
      <name val="Arial"/>
      <family val="2"/>
    </font>
    <font>
      <b/>
      <sz val="16"/>
      <color indexed="8"/>
      <name val="Calibri"/>
      <family val="2"/>
    </font>
    <font>
      <b/>
      <sz val="20"/>
      <name val="Arial"/>
      <family val="2"/>
    </font>
    <font>
      <b/>
      <sz val="11"/>
      <name val="Arial"/>
      <family val="2"/>
    </font>
    <font>
      <b/>
      <sz val="10"/>
      <name val="Arial"/>
      <family val="2"/>
    </font>
    <font>
      <b/>
      <sz val="10"/>
      <name val="Arial"/>
      <family val="2"/>
      <charset val="238"/>
    </font>
    <font>
      <b/>
      <sz val="12"/>
      <name val="Calibri"/>
      <family val="2"/>
    </font>
    <font>
      <sz val="12"/>
      <name val="Calibri"/>
      <family val="2"/>
    </font>
    <font>
      <b/>
      <sz val="12"/>
      <name val="Arial"/>
      <family val="2"/>
    </font>
    <font>
      <b/>
      <sz val="12"/>
      <name val="Arial"/>
      <family val="2"/>
      <charset val="238"/>
    </font>
    <font>
      <b/>
      <sz val="11"/>
      <name val="Calibri"/>
      <family val="2"/>
    </font>
    <font>
      <sz val="11"/>
      <name val="Arial"/>
      <family val="2"/>
    </font>
    <font>
      <sz val="10"/>
      <name val="Arial"/>
      <family val="2"/>
    </font>
    <font>
      <sz val="10"/>
      <name val="Arial"/>
      <family val="2"/>
      <charset val="238"/>
    </font>
    <font>
      <sz val="12"/>
      <name val="Arial"/>
      <family val="2"/>
      <charset val="238"/>
    </font>
    <font>
      <b/>
      <sz val="11"/>
      <name val="Calibri"/>
      <family val="2"/>
      <charset val="238"/>
    </font>
    <font>
      <b/>
      <i/>
      <sz val="10"/>
      <name val="Calibri"/>
      <family val="2"/>
      <scheme val="minor"/>
    </font>
    <font>
      <i/>
      <sz val="11"/>
      <name val="Calibri"/>
      <family val="2"/>
      <scheme val="minor"/>
    </font>
    <font>
      <b/>
      <sz val="11"/>
      <color indexed="8"/>
      <name val="Calibri"/>
      <family val="2"/>
    </font>
    <font>
      <i/>
      <sz val="10"/>
      <name val="Calibri"/>
      <family val="2"/>
      <scheme val="minor"/>
    </font>
    <font>
      <i/>
      <sz val="10"/>
      <name val="Arial"/>
      <family val="2"/>
      <charset val="238"/>
    </font>
    <font>
      <i/>
      <sz val="11"/>
      <name val="Calibri"/>
      <family val="2"/>
      <charset val="238"/>
    </font>
    <font>
      <b/>
      <i/>
      <sz val="11"/>
      <name val="Calibri"/>
      <family val="2"/>
      <scheme val="minor"/>
    </font>
    <font>
      <b/>
      <i/>
      <sz val="10"/>
      <name val="Calibri"/>
      <family val="2"/>
      <charset val="238"/>
      <scheme val="minor"/>
    </font>
    <font>
      <b/>
      <i/>
      <sz val="11"/>
      <name val="Calibri"/>
      <family val="2"/>
      <charset val="238"/>
      <scheme val="minor"/>
    </font>
    <font>
      <i/>
      <sz val="11"/>
      <name val="Calibri"/>
      <family val="2"/>
      <charset val="238"/>
      <scheme val="minor"/>
    </font>
    <font>
      <b/>
      <sz val="10"/>
      <color indexed="8"/>
      <name val="Arial"/>
      <family val="2"/>
    </font>
    <font>
      <i/>
      <sz val="10"/>
      <name val="Calibri"/>
      <family val="2"/>
      <charset val="238"/>
      <scheme val="minor"/>
    </font>
    <font>
      <i/>
      <sz val="10"/>
      <color indexed="8"/>
      <name val="Calibri"/>
      <family val="2"/>
      <charset val="238"/>
      <scheme val="minor"/>
    </font>
    <font>
      <sz val="10"/>
      <color indexed="8"/>
      <name val="Arial"/>
      <family val="2"/>
    </font>
    <font>
      <i/>
      <sz val="10"/>
      <name val="Arial"/>
      <family val="2"/>
    </font>
    <font>
      <b/>
      <i/>
      <sz val="10"/>
      <color indexed="8"/>
      <name val="Calibri"/>
      <family val="2"/>
      <charset val="238"/>
      <scheme val="minor"/>
    </font>
    <font>
      <sz val="11"/>
      <name val="Calibri"/>
      <family val="2"/>
      <charset val="238"/>
    </font>
    <font>
      <b/>
      <sz val="9"/>
      <color indexed="81"/>
      <name val="Tahoma"/>
      <family val="2"/>
    </font>
    <font>
      <sz val="9"/>
      <color indexed="81"/>
      <name val="Tahoma"/>
      <family val="2"/>
    </font>
    <font>
      <sz val="9"/>
      <color indexed="10"/>
      <name val="Tahoma"/>
      <family val="2"/>
    </font>
    <font>
      <sz val="11"/>
      <color theme="1"/>
      <name val="Calibri"/>
      <family val="2"/>
      <charset val="238"/>
      <scheme val="minor"/>
    </font>
    <font>
      <sz val="10"/>
      <color theme="1"/>
      <name val="Arial"/>
      <family val="2"/>
    </font>
    <font>
      <b/>
      <sz val="9"/>
      <color theme="1"/>
      <name val="Arial"/>
      <family val="2"/>
    </font>
    <font>
      <b/>
      <sz val="10"/>
      <color theme="1"/>
      <name val="Arial"/>
      <family val="2"/>
    </font>
    <font>
      <b/>
      <sz val="14"/>
      <name val="Arial"/>
      <family val="2"/>
    </font>
    <font>
      <b/>
      <i/>
      <sz val="10"/>
      <color theme="1"/>
      <name val="Arial"/>
      <family val="2"/>
    </font>
    <font>
      <b/>
      <i/>
      <sz val="10"/>
      <name val="Arial"/>
      <family val="2"/>
    </font>
    <font>
      <sz val="8"/>
      <color theme="1"/>
      <name val="Arial"/>
      <family val="2"/>
    </font>
    <font>
      <sz val="10"/>
      <color rgb="FFFF0000"/>
      <name val="Arial"/>
      <family val="2"/>
    </font>
    <font>
      <b/>
      <sz val="10"/>
      <color theme="9" tint="-0.249977111117893"/>
      <name val="Arial"/>
      <family val="2"/>
    </font>
    <font>
      <b/>
      <i/>
      <sz val="10"/>
      <color theme="9" tint="-0.249977111117893"/>
      <name val="Arial"/>
      <family val="2"/>
    </font>
    <font>
      <b/>
      <sz val="10"/>
      <color rgb="FF008000"/>
      <name val="Arial"/>
      <family val="2"/>
    </font>
    <font>
      <b/>
      <sz val="10"/>
      <color rgb="FF00B050"/>
      <name val="Arial"/>
      <family val="2"/>
    </font>
    <font>
      <b/>
      <i/>
      <sz val="10"/>
      <color rgb="FF008000"/>
      <name val="Arial"/>
      <family val="2"/>
    </font>
    <font>
      <b/>
      <sz val="10"/>
      <color rgb="FF0070C0"/>
      <name val="Arial"/>
      <family val="2"/>
    </font>
    <font>
      <b/>
      <sz val="10"/>
      <color rgb="FF0000FF"/>
      <name val="Arial"/>
      <family val="2"/>
    </font>
    <font>
      <b/>
      <i/>
      <sz val="10"/>
      <color rgb="FF0070C0"/>
      <name val="Arial"/>
      <family val="2"/>
    </font>
    <font>
      <sz val="11"/>
      <color theme="1"/>
      <name val="Calibri"/>
      <family val="2"/>
      <scheme val="minor"/>
    </font>
    <font>
      <b/>
      <sz val="18"/>
      <name val="Arial"/>
      <family val="2"/>
    </font>
    <font>
      <b/>
      <sz val="9"/>
      <name val="Arial"/>
      <family val="2"/>
      <charset val="238"/>
    </font>
    <font>
      <b/>
      <sz val="10"/>
      <name val="Calibri"/>
      <family val="2"/>
      <charset val="238"/>
      <scheme val="minor"/>
    </font>
    <font>
      <sz val="10"/>
      <name val="Calibri"/>
      <family val="2"/>
      <charset val="238"/>
      <scheme val="minor"/>
    </font>
    <font>
      <sz val="10"/>
      <color indexed="8"/>
      <name val="Calibri"/>
      <family val="2"/>
      <charset val="238"/>
      <scheme val="minor"/>
    </font>
  </fonts>
  <fills count="2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CCFFCC"/>
        <bgColor indexed="64"/>
      </patternFill>
    </fill>
    <fill>
      <patternFill patternType="solid">
        <fgColor theme="4" tint="0.79998168889431442"/>
        <bgColor indexed="64"/>
      </patternFill>
    </fill>
    <fill>
      <patternFill patternType="solid">
        <fgColor rgb="FFFFFF00"/>
        <bgColor indexed="34"/>
      </patternFill>
    </fill>
    <fill>
      <patternFill patternType="solid">
        <fgColor indexed="13"/>
        <bgColor indexed="34"/>
      </patternFill>
    </fill>
    <fill>
      <patternFill patternType="solid">
        <fgColor theme="7" tint="0.79998168889431442"/>
        <bgColor indexed="34"/>
      </patternFill>
    </fill>
    <fill>
      <patternFill patternType="solid">
        <fgColor rgb="FFCCFFCC"/>
        <bgColor indexed="34"/>
      </patternFill>
    </fill>
    <fill>
      <patternFill patternType="solid">
        <fgColor theme="4" tint="0.79998168889431442"/>
        <bgColor indexed="34"/>
      </patternFill>
    </fill>
    <fill>
      <patternFill patternType="solid">
        <fgColor rgb="FF00B0F0"/>
        <bgColor indexed="64"/>
      </patternFill>
    </fill>
    <fill>
      <patternFill patternType="solid">
        <fgColor theme="7" tint="0.79998168889431442"/>
        <bgColor indexed="26"/>
      </patternFill>
    </fill>
    <fill>
      <patternFill patternType="solid">
        <fgColor rgb="FFCCFFCC"/>
        <bgColor indexed="26"/>
      </patternFill>
    </fill>
    <fill>
      <patternFill patternType="solid">
        <fgColor theme="4" tint="0.79998168889431442"/>
        <bgColor indexed="26"/>
      </patternFill>
    </fill>
    <fill>
      <patternFill patternType="solid">
        <fgColor rgb="FFFFFF00"/>
        <bgColor indexed="26"/>
      </patternFill>
    </fill>
    <fill>
      <patternFill patternType="solid">
        <fgColor theme="2"/>
        <bgColor indexed="64"/>
      </patternFill>
    </fill>
    <fill>
      <patternFill patternType="solid">
        <fgColor theme="8" tint="0.79998168889431442"/>
        <bgColor indexed="3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99">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bottom style="medium">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auto="1"/>
      </left>
      <right style="medium">
        <color indexed="64"/>
      </right>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medium">
        <color indexed="64"/>
      </right>
      <top style="medium">
        <color indexed="8"/>
      </top>
      <bottom/>
      <diagonal/>
    </border>
    <border>
      <left style="thin">
        <color indexed="64"/>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style="medium">
        <color indexed="8"/>
      </bottom>
      <diagonal/>
    </border>
    <border>
      <left style="medium">
        <color indexed="8"/>
      </left>
      <right style="medium">
        <color indexed="8"/>
      </right>
      <top style="medium">
        <color indexed="64"/>
      </top>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8"/>
      </right>
      <top/>
      <bottom/>
      <diagonal/>
    </border>
    <border>
      <left style="thin">
        <color indexed="8"/>
      </left>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64"/>
      </right>
      <top/>
      <bottom style="medium">
        <color indexed="64"/>
      </bottom>
      <diagonal/>
    </border>
  </borders>
  <cellStyleXfs count="10">
    <xf numFmtId="0" fontId="0" fillId="0" borderId="0"/>
    <xf numFmtId="0" fontId="1" fillId="0" borderId="0"/>
    <xf numFmtId="0" fontId="15" fillId="0" borderId="0"/>
    <xf numFmtId="0" fontId="39" fillId="0" borderId="0"/>
    <xf numFmtId="0" fontId="1" fillId="0" borderId="0"/>
    <xf numFmtId="0" fontId="15" fillId="0" borderId="0"/>
    <xf numFmtId="0" fontId="15" fillId="0" borderId="0"/>
    <xf numFmtId="0" fontId="1" fillId="0" borderId="0"/>
    <xf numFmtId="0" fontId="15" fillId="0" borderId="0"/>
    <xf numFmtId="0" fontId="56" fillId="0" borderId="0"/>
  </cellStyleXfs>
  <cellXfs count="1528">
    <xf numFmtId="0" fontId="0" fillId="0" borderId="0" xfId="0"/>
    <xf numFmtId="164" fontId="2" fillId="0" borderId="0" xfId="1" applyNumberFormat="1" applyFont="1" applyProtection="1">
      <protection locked="0"/>
    </xf>
    <xf numFmtId="164" fontId="3" fillId="0" borderId="0" xfId="1" applyNumberFormat="1" applyFont="1" applyAlignment="1" applyProtection="1">
      <alignment vertical="center"/>
      <protection locked="0"/>
    </xf>
    <xf numFmtId="164" fontId="3" fillId="0" borderId="0" xfId="1" applyNumberFormat="1" applyFont="1" applyAlignment="1" applyProtection="1">
      <alignment horizontal="right" vertical="center"/>
      <protection locked="0"/>
    </xf>
    <xf numFmtId="0" fontId="4" fillId="0" borderId="0" xfId="1" applyFont="1" applyAlignment="1">
      <alignment vertical="center"/>
    </xf>
    <xf numFmtId="0" fontId="4" fillId="0" borderId="0" xfId="1" applyFont="1"/>
    <xf numFmtId="164" fontId="5" fillId="0" borderId="0" xfId="1" applyNumberFormat="1" applyFont="1" applyAlignment="1" applyProtection="1">
      <alignment vertical="center" wrapText="1"/>
      <protection locked="0"/>
    </xf>
    <xf numFmtId="4" fontId="6" fillId="0" borderId="1" xfId="1" applyNumberFormat="1" applyFont="1" applyBorder="1" applyAlignment="1" applyProtection="1">
      <alignment vertical="center"/>
      <protection locked="0"/>
    </xf>
    <xf numFmtId="164" fontId="2" fillId="0" borderId="0" xfId="1" applyNumberFormat="1" applyFont="1" applyAlignment="1" applyProtection="1">
      <alignment vertical="top" wrapText="1"/>
      <protection locked="0"/>
    </xf>
    <xf numFmtId="164" fontId="7" fillId="2" borderId="10" xfId="1" applyNumberFormat="1" applyFont="1" applyFill="1" applyBorder="1" applyAlignment="1" applyProtection="1">
      <alignment horizontal="center" vertical="center"/>
      <protection locked="0"/>
    </xf>
    <xf numFmtId="164" fontId="7" fillId="3" borderId="9" xfId="1" applyNumberFormat="1" applyFont="1" applyFill="1" applyBorder="1" applyAlignment="1" applyProtection="1">
      <alignment horizontal="center" vertical="center"/>
      <protection locked="0"/>
    </xf>
    <xf numFmtId="164" fontId="7" fillId="4" borderId="10" xfId="1" applyNumberFormat="1" applyFont="1" applyFill="1" applyBorder="1" applyAlignment="1" applyProtection="1">
      <alignment horizontal="center" vertical="center"/>
      <protection locked="0"/>
    </xf>
    <xf numFmtId="164" fontId="7" fillId="5" borderId="10" xfId="1" applyNumberFormat="1" applyFont="1" applyFill="1" applyBorder="1" applyAlignment="1" applyProtection="1">
      <alignment horizontal="center" vertical="center"/>
      <protection locked="0"/>
    </xf>
    <xf numFmtId="164" fontId="8" fillId="2" borderId="15" xfId="1" applyNumberFormat="1" applyFont="1" applyFill="1" applyBorder="1" applyAlignment="1" applyProtection="1">
      <alignment horizontal="center" vertical="center" wrapText="1"/>
      <protection locked="0"/>
    </xf>
    <xf numFmtId="164" fontId="8" fillId="2" borderId="16" xfId="1" applyNumberFormat="1" applyFont="1" applyFill="1" applyBorder="1" applyAlignment="1" applyProtection="1">
      <alignment horizontal="center" vertical="center" wrapText="1"/>
      <protection locked="0"/>
    </xf>
    <xf numFmtId="164" fontId="8" fillId="2" borderId="17" xfId="1" applyNumberFormat="1" applyFont="1" applyFill="1" applyBorder="1" applyAlignment="1" applyProtection="1">
      <alignment horizontal="center" vertical="center" wrapText="1"/>
      <protection locked="0"/>
    </xf>
    <xf numFmtId="164" fontId="8" fillId="3" borderId="15" xfId="1" applyNumberFormat="1" applyFont="1" applyFill="1" applyBorder="1" applyAlignment="1" applyProtection="1">
      <alignment horizontal="center" vertical="center" wrapText="1"/>
      <protection locked="0"/>
    </xf>
    <xf numFmtId="164" fontId="8" fillId="3" borderId="16" xfId="1" applyNumberFormat="1" applyFont="1" applyFill="1" applyBorder="1" applyAlignment="1" applyProtection="1">
      <alignment horizontal="center" vertical="center" wrapText="1"/>
      <protection locked="0"/>
    </xf>
    <xf numFmtId="164" fontId="8" fillId="3" borderId="18" xfId="1" applyNumberFormat="1" applyFont="1" applyFill="1" applyBorder="1" applyAlignment="1" applyProtection="1">
      <alignment horizontal="center" vertical="center" wrapText="1"/>
      <protection locked="0"/>
    </xf>
    <xf numFmtId="164" fontId="8" fillId="4" borderId="15" xfId="1" applyNumberFormat="1" applyFont="1" applyFill="1" applyBorder="1" applyAlignment="1" applyProtection="1">
      <alignment horizontal="center" vertical="center" wrapText="1"/>
      <protection locked="0"/>
    </xf>
    <xf numFmtId="164" fontId="8" fillId="4" borderId="16" xfId="1" applyNumberFormat="1" applyFont="1" applyFill="1" applyBorder="1" applyAlignment="1" applyProtection="1">
      <alignment horizontal="center" vertical="center" wrapText="1"/>
      <protection locked="0"/>
    </xf>
    <xf numFmtId="164" fontId="8" fillId="4" borderId="17" xfId="1" applyNumberFormat="1" applyFont="1" applyFill="1" applyBorder="1" applyAlignment="1" applyProtection="1">
      <alignment horizontal="center" vertical="center" wrapText="1"/>
      <protection locked="0"/>
    </xf>
    <xf numFmtId="164" fontId="8" fillId="5" borderId="15" xfId="1" applyNumberFormat="1" applyFont="1" applyFill="1" applyBorder="1" applyAlignment="1" applyProtection="1">
      <alignment horizontal="center" vertical="center" wrapText="1"/>
      <protection locked="0"/>
    </xf>
    <xf numFmtId="164" fontId="8" fillId="5" borderId="16" xfId="1" applyNumberFormat="1" applyFont="1" applyFill="1" applyBorder="1" applyAlignment="1" applyProtection="1">
      <alignment horizontal="center" vertical="center" wrapText="1"/>
      <protection locked="0"/>
    </xf>
    <xf numFmtId="164" fontId="8" fillId="5" borderId="17" xfId="1" applyNumberFormat="1" applyFont="1" applyFill="1" applyBorder="1" applyAlignment="1" applyProtection="1">
      <alignment horizontal="center" vertical="center" wrapText="1"/>
      <protection locked="0"/>
    </xf>
    <xf numFmtId="164" fontId="9" fillId="0" borderId="20" xfId="1" quotePrefix="1" applyNumberFormat="1" applyFont="1" applyBorder="1" applyAlignment="1" applyProtection="1">
      <alignment horizontal="left" vertical="center" wrapText="1"/>
      <protection locked="0"/>
    </xf>
    <xf numFmtId="164" fontId="10" fillId="0" borderId="21" xfId="1" quotePrefix="1" applyNumberFormat="1" applyFont="1" applyBorder="1" applyAlignment="1" applyProtection="1">
      <alignment horizontal="left" vertical="center" wrapText="1"/>
      <protection locked="0"/>
    </xf>
    <xf numFmtId="164" fontId="10" fillId="0" borderId="21" xfId="1" applyNumberFormat="1" applyFont="1" applyBorder="1" applyAlignment="1" applyProtection="1">
      <alignment horizontal="center" vertical="center" wrapText="1"/>
      <protection locked="0"/>
    </xf>
    <xf numFmtId="164" fontId="11" fillId="0" borderId="21" xfId="1" applyNumberFormat="1" applyFont="1" applyBorder="1" applyAlignment="1" applyProtection="1">
      <alignment horizontal="left" vertical="center" wrapText="1"/>
      <protection locked="0"/>
    </xf>
    <xf numFmtId="164" fontId="11" fillId="0" borderId="22" xfId="1" quotePrefix="1" applyNumberFormat="1" applyFont="1" applyBorder="1" applyAlignment="1" applyProtection="1">
      <alignment horizontal="right" vertical="center" wrapText="1"/>
      <protection locked="0"/>
    </xf>
    <xf numFmtId="164" fontId="11" fillId="0" borderId="23" xfId="1" quotePrefix="1" applyNumberFormat="1" applyFont="1" applyBorder="1" applyAlignment="1" applyProtection="1">
      <alignment horizontal="right" vertical="center" wrapText="1"/>
      <protection locked="0"/>
    </xf>
    <xf numFmtId="164" fontId="12" fillId="0" borderId="23" xfId="1" applyNumberFormat="1" applyFont="1" applyBorder="1" applyAlignment="1" applyProtection="1">
      <alignment horizontal="right" vertical="center" wrapText="1"/>
      <protection locked="0"/>
    </xf>
    <xf numFmtId="164" fontId="12" fillId="0" borderId="24" xfId="1" applyNumberFormat="1" applyFont="1" applyBorder="1" applyAlignment="1" applyProtection="1">
      <alignment horizontal="right" vertical="center" wrapText="1"/>
      <protection locked="0"/>
    </xf>
    <xf numFmtId="164" fontId="12" fillId="0" borderId="21" xfId="1" applyNumberFormat="1" applyFont="1" applyBorder="1" applyAlignment="1" applyProtection="1">
      <alignment horizontal="right" vertical="center" wrapText="1"/>
      <protection locked="0"/>
    </xf>
    <xf numFmtId="164" fontId="12" fillId="0" borderId="25" xfId="1" applyNumberFormat="1" applyFont="1" applyBorder="1" applyAlignment="1" applyProtection="1">
      <alignment horizontal="right" vertical="center" wrapText="1"/>
      <protection locked="0"/>
    </xf>
    <xf numFmtId="164" fontId="12" fillId="0" borderId="26" xfId="1" applyNumberFormat="1" applyFont="1" applyBorder="1" applyAlignment="1" applyProtection="1">
      <alignment horizontal="right" vertical="center" wrapText="1"/>
      <protection locked="0"/>
    </xf>
    <xf numFmtId="164" fontId="12" fillId="0" borderId="22" xfId="1" applyNumberFormat="1" applyFont="1" applyBorder="1" applyAlignment="1" applyProtection="1">
      <alignment horizontal="right" vertical="center" wrapText="1"/>
      <protection locked="0"/>
    </xf>
    <xf numFmtId="49" fontId="13" fillId="0" borderId="27" xfId="1" applyNumberFormat="1" applyFont="1" applyBorder="1" applyAlignment="1" applyProtection="1">
      <alignment horizontal="left" vertical="center" wrapText="1"/>
      <protection locked="0"/>
    </xf>
    <xf numFmtId="3" fontId="2" fillId="0" borderId="28" xfId="1" applyNumberFormat="1" applyFont="1" applyBorder="1" applyAlignment="1" applyProtection="1">
      <alignment horizontal="left" vertical="center" wrapText="1"/>
      <protection locked="0"/>
    </xf>
    <xf numFmtId="3" fontId="2" fillId="0" borderId="28" xfId="1" applyNumberFormat="1" applyFont="1" applyBorder="1" applyAlignment="1" applyProtection="1">
      <alignment horizontal="center" vertical="center" wrapText="1"/>
      <protection locked="0"/>
    </xf>
    <xf numFmtId="4" fontId="6" fillId="0" borderId="28" xfId="1" applyNumberFormat="1" applyFont="1" applyBorder="1" applyAlignment="1" applyProtection="1">
      <alignment horizontal="left" vertical="center" wrapText="1"/>
      <protection locked="0"/>
    </xf>
    <xf numFmtId="4" fontId="7" fillId="0" borderId="29" xfId="1" quotePrefix="1" applyNumberFormat="1" applyFont="1" applyBorder="1" applyAlignment="1" applyProtection="1">
      <alignment horizontal="right" vertical="center" wrapText="1"/>
      <protection locked="0"/>
    </xf>
    <xf numFmtId="4" fontId="7" fillId="0" borderId="30" xfId="1" quotePrefix="1" applyNumberFormat="1" applyFont="1" applyBorder="1" applyAlignment="1" applyProtection="1">
      <alignment horizontal="right" vertical="center" wrapText="1"/>
      <protection locked="0"/>
    </xf>
    <xf numFmtId="164" fontId="8" fillId="0" borderId="30" xfId="1" applyNumberFormat="1" applyFont="1" applyBorder="1" applyAlignment="1" applyProtection="1">
      <alignment horizontal="right" vertical="center" wrapText="1"/>
      <protection locked="0"/>
    </xf>
    <xf numFmtId="164" fontId="8" fillId="0" borderId="31" xfId="1" applyNumberFormat="1" applyFont="1" applyBorder="1" applyAlignment="1" applyProtection="1">
      <alignment horizontal="right" vertical="center" wrapText="1"/>
      <protection locked="0"/>
    </xf>
    <xf numFmtId="164" fontId="8" fillId="0" borderId="28" xfId="1" applyNumberFormat="1" applyFont="1" applyBorder="1" applyAlignment="1" applyProtection="1">
      <alignment horizontal="right" vertical="center" wrapText="1"/>
      <protection locked="0"/>
    </xf>
    <xf numFmtId="164" fontId="8" fillId="0" borderId="32" xfId="1" applyNumberFormat="1" applyFont="1" applyBorder="1" applyAlignment="1" applyProtection="1">
      <alignment horizontal="right" vertical="center" wrapText="1"/>
      <protection locked="0"/>
    </xf>
    <xf numFmtId="164" fontId="12" fillId="0" borderId="10" xfId="1" applyNumberFormat="1" applyFont="1" applyBorder="1" applyAlignment="1" applyProtection="1">
      <alignment horizontal="right" vertical="center" wrapText="1"/>
      <protection locked="0"/>
    </xf>
    <xf numFmtId="164" fontId="12" fillId="0" borderId="31" xfId="1" applyNumberFormat="1" applyFont="1" applyBorder="1" applyAlignment="1" applyProtection="1">
      <alignment horizontal="right" vertical="center" wrapText="1"/>
      <protection locked="0"/>
    </xf>
    <xf numFmtId="164" fontId="12" fillId="0" borderId="28" xfId="1" applyNumberFormat="1" applyFont="1" applyBorder="1" applyAlignment="1" applyProtection="1">
      <alignment horizontal="right" vertical="center" wrapText="1"/>
      <protection locked="0"/>
    </xf>
    <xf numFmtId="164" fontId="12" fillId="0" borderId="29" xfId="1" applyNumberFormat="1" applyFont="1" applyBorder="1" applyAlignment="1" applyProtection="1">
      <alignment horizontal="right" vertical="center" wrapText="1"/>
      <protection locked="0"/>
    </xf>
    <xf numFmtId="164" fontId="8" fillId="0" borderId="33" xfId="1" applyNumberFormat="1" applyFont="1" applyBorder="1" applyAlignment="1" applyProtection="1">
      <alignment horizontal="right" vertical="center" wrapText="1"/>
      <protection locked="0"/>
    </xf>
    <xf numFmtId="164" fontId="8" fillId="0" borderId="34" xfId="1" applyNumberFormat="1" applyFont="1" applyBorder="1" applyAlignment="1" applyProtection="1">
      <alignment horizontal="right" vertical="center" wrapText="1"/>
      <protection locked="0"/>
    </xf>
    <xf numFmtId="164" fontId="8" fillId="0" borderId="35" xfId="1" applyNumberFormat="1" applyFont="1" applyBorder="1" applyAlignment="1" applyProtection="1">
      <alignment horizontal="right" vertical="center" wrapText="1"/>
      <protection locked="0"/>
    </xf>
    <xf numFmtId="164" fontId="8" fillId="0" borderId="36" xfId="1" applyNumberFormat="1" applyFont="1" applyBorder="1" applyAlignment="1" applyProtection="1">
      <alignment horizontal="right" vertical="center" wrapText="1"/>
      <protection locked="0"/>
    </xf>
    <xf numFmtId="164" fontId="8" fillId="0" borderId="37" xfId="1" applyNumberFormat="1" applyFont="1" applyBorder="1" applyAlignment="1" applyProtection="1">
      <alignment horizontal="right" vertical="center" wrapText="1"/>
      <protection locked="0"/>
    </xf>
    <xf numFmtId="49" fontId="13" fillId="0" borderId="34" xfId="1" applyNumberFormat="1" applyFont="1" applyBorder="1" applyAlignment="1" applyProtection="1">
      <alignment horizontal="left" vertical="center" wrapText="1"/>
      <protection locked="0"/>
    </xf>
    <xf numFmtId="3" fontId="2" fillId="0" borderId="35" xfId="1" applyNumberFormat="1" applyFont="1" applyBorder="1" applyAlignment="1" applyProtection="1">
      <alignment horizontal="left" vertical="center" wrapText="1"/>
      <protection locked="0"/>
    </xf>
    <xf numFmtId="3" fontId="2" fillId="0" borderId="35" xfId="1" applyNumberFormat="1" applyFont="1" applyBorder="1" applyAlignment="1" applyProtection="1">
      <alignment horizontal="center" vertical="center" wrapText="1"/>
      <protection locked="0"/>
    </xf>
    <xf numFmtId="4" fontId="6" fillId="0" borderId="35" xfId="1" applyNumberFormat="1" applyFont="1" applyBorder="1" applyAlignment="1" applyProtection="1">
      <alignment horizontal="left" vertical="center" wrapText="1"/>
      <protection locked="0"/>
    </xf>
    <xf numFmtId="4" fontId="7" fillId="0" borderId="41" xfId="1" quotePrefix="1" applyNumberFormat="1" applyFont="1" applyBorder="1" applyAlignment="1" applyProtection="1">
      <alignment horizontal="right" vertical="center" wrapText="1"/>
      <protection locked="0"/>
    </xf>
    <xf numFmtId="4" fontId="7" fillId="0" borderId="33" xfId="1" quotePrefix="1" applyNumberFormat="1" applyFont="1" applyBorder="1" applyAlignment="1" applyProtection="1">
      <alignment horizontal="right" vertical="center" wrapText="1"/>
      <protection locked="0"/>
    </xf>
    <xf numFmtId="164" fontId="8" fillId="0" borderId="42" xfId="1" applyNumberFormat="1" applyFont="1" applyBorder="1" applyAlignment="1" applyProtection="1">
      <alignment horizontal="right" vertical="center" wrapText="1"/>
      <protection locked="0"/>
    </xf>
    <xf numFmtId="164" fontId="12" fillId="0" borderId="37" xfId="1" applyNumberFormat="1" applyFont="1" applyBorder="1" applyAlignment="1" applyProtection="1">
      <alignment horizontal="right" vertical="center" wrapText="1"/>
      <protection locked="0"/>
    </xf>
    <xf numFmtId="164" fontId="12" fillId="0" borderId="42" xfId="1" applyNumberFormat="1" applyFont="1" applyBorder="1" applyAlignment="1" applyProtection="1">
      <alignment horizontal="right" vertical="center" wrapText="1"/>
      <protection locked="0"/>
    </xf>
    <xf numFmtId="164" fontId="12" fillId="0" borderId="35" xfId="1" applyNumberFormat="1" applyFont="1" applyBorder="1" applyAlignment="1" applyProtection="1">
      <alignment horizontal="right" vertical="center" wrapText="1"/>
      <protection locked="0"/>
    </xf>
    <xf numFmtId="164" fontId="12" fillId="0" borderId="41" xfId="1" applyNumberFormat="1" applyFont="1" applyBorder="1" applyAlignment="1" applyProtection="1">
      <alignment horizontal="right" vertical="center" wrapText="1"/>
      <protection locked="0"/>
    </xf>
    <xf numFmtId="3" fontId="2" fillId="0" borderId="35" xfId="1" quotePrefix="1" applyNumberFormat="1" applyFont="1" applyBorder="1" applyAlignment="1" applyProtection="1">
      <alignment horizontal="left" vertical="center" wrapText="1"/>
      <protection locked="0"/>
    </xf>
    <xf numFmtId="49" fontId="13" fillId="0" borderId="34" xfId="1" quotePrefix="1" applyNumberFormat="1" applyFont="1" applyBorder="1" applyAlignment="1" applyProtection="1">
      <alignment horizontal="left" vertical="center" wrapText="1"/>
      <protection locked="0"/>
    </xf>
    <xf numFmtId="3" fontId="2" fillId="0" borderId="35" xfId="1" quotePrefix="1" applyNumberFormat="1" applyFont="1" applyBorder="1" applyAlignment="1" applyProtection="1">
      <alignment horizontal="center" vertical="center" wrapText="1"/>
      <protection locked="0"/>
    </xf>
    <xf numFmtId="49" fontId="2" fillId="0" borderId="35" xfId="1" quotePrefix="1" applyNumberFormat="1" applyFont="1" applyBorder="1" applyAlignment="1" applyProtection="1">
      <alignment horizontal="center" vertical="center" wrapText="1"/>
      <protection locked="0"/>
    </xf>
    <xf numFmtId="49" fontId="2" fillId="0" borderId="34" xfId="1" applyNumberFormat="1" applyFont="1" applyBorder="1" applyAlignment="1" applyProtection="1">
      <alignment horizontal="left" vertical="center" wrapText="1"/>
      <protection locked="0"/>
    </xf>
    <xf numFmtId="4" fontId="14" fillId="0" borderId="35" xfId="1" applyNumberFormat="1" applyFont="1" applyBorder="1" applyAlignment="1" applyProtection="1">
      <alignment horizontal="left" vertical="center" wrapText="1"/>
      <protection locked="0"/>
    </xf>
    <xf numFmtId="4" fontId="15" fillId="0" borderId="41" xfId="1" quotePrefix="1" applyNumberFormat="1" applyFont="1" applyBorder="1" applyAlignment="1" applyProtection="1">
      <alignment horizontal="right" vertical="center" wrapText="1"/>
      <protection locked="0"/>
    </xf>
    <xf numFmtId="4" fontId="15" fillId="0" borderId="33" xfId="1" quotePrefix="1" applyNumberFormat="1" applyFont="1" applyBorder="1" applyAlignment="1" applyProtection="1">
      <alignment horizontal="right" vertical="center" wrapText="1"/>
      <protection locked="0"/>
    </xf>
    <xf numFmtId="164" fontId="16" fillId="0" borderId="33" xfId="1" applyNumberFormat="1" applyFont="1" applyBorder="1" applyAlignment="1" applyProtection="1">
      <alignment horizontal="right" vertical="center" wrapText="1"/>
      <protection locked="0"/>
    </xf>
    <xf numFmtId="164" fontId="16" fillId="0" borderId="42" xfId="1" applyNumberFormat="1" applyFont="1" applyBorder="1" applyAlignment="1" applyProtection="1">
      <alignment horizontal="right" vertical="center" wrapText="1"/>
      <protection locked="0"/>
    </xf>
    <xf numFmtId="164" fontId="16" fillId="0" borderId="35" xfId="1" applyNumberFormat="1" applyFont="1" applyBorder="1" applyAlignment="1" applyProtection="1">
      <alignment horizontal="right" vertical="center" wrapText="1"/>
      <protection locked="0"/>
    </xf>
    <xf numFmtId="164" fontId="16" fillId="0" borderId="36" xfId="1" applyNumberFormat="1" applyFont="1" applyBorder="1" applyAlignment="1" applyProtection="1">
      <alignment horizontal="right" vertical="center" wrapText="1"/>
      <protection locked="0"/>
    </xf>
    <xf numFmtId="164" fontId="17" fillId="0" borderId="37" xfId="1" applyNumberFormat="1" applyFont="1" applyBorder="1" applyAlignment="1" applyProtection="1">
      <alignment horizontal="right" vertical="center" wrapText="1"/>
      <protection locked="0"/>
    </xf>
    <xf numFmtId="164" fontId="17" fillId="0" borderId="42" xfId="1" applyNumberFormat="1" applyFont="1" applyBorder="1" applyAlignment="1" applyProtection="1">
      <alignment horizontal="right" vertical="center" wrapText="1"/>
      <protection locked="0"/>
    </xf>
    <xf numFmtId="164" fontId="17" fillId="0" borderId="35" xfId="1" applyNumberFormat="1" applyFont="1" applyBorder="1" applyAlignment="1" applyProtection="1">
      <alignment horizontal="right" vertical="center" wrapText="1"/>
      <protection locked="0"/>
    </xf>
    <xf numFmtId="164" fontId="17" fillId="0" borderId="41" xfId="1" applyNumberFormat="1" applyFont="1" applyBorder="1" applyAlignment="1" applyProtection="1">
      <alignment horizontal="right" vertical="center" wrapText="1"/>
      <protection locked="0"/>
    </xf>
    <xf numFmtId="164" fontId="15" fillId="0" borderId="34" xfId="1" applyNumberFormat="1" applyFont="1" applyBorder="1" applyAlignment="1" applyProtection="1">
      <alignment horizontal="right" vertical="center" wrapText="1"/>
      <protection locked="0"/>
    </xf>
    <xf numFmtId="164" fontId="15" fillId="0" borderId="35" xfId="1" applyNumberFormat="1" applyFont="1" applyBorder="1" applyAlignment="1" applyProtection="1">
      <alignment horizontal="right" vertical="center" wrapText="1"/>
      <protection locked="0"/>
    </xf>
    <xf numFmtId="164" fontId="15" fillId="0" borderId="36" xfId="1" applyNumberFormat="1" applyFont="1" applyBorder="1" applyAlignment="1" applyProtection="1">
      <alignment horizontal="right" vertical="center" wrapText="1"/>
      <protection locked="0"/>
    </xf>
    <xf numFmtId="164" fontId="16" fillId="0" borderId="37" xfId="1" applyNumberFormat="1" applyFont="1" applyBorder="1" applyAlignment="1" applyProtection="1">
      <alignment horizontal="right" vertical="center" wrapText="1"/>
      <protection locked="0"/>
    </xf>
    <xf numFmtId="3" fontId="2" fillId="0" borderId="19" xfId="1" applyNumberFormat="1" applyFont="1" applyBorder="1" applyAlignment="1" applyProtection="1">
      <alignment horizontal="center" vertical="center" wrapText="1"/>
      <protection locked="0"/>
    </xf>
    <xf numFmtId="3" fontId="2" fillId="0" borderId="16" xfId="1" quotePrefix="1" applyNumberFormat="1" applyFont="1" applyBorder="1" applyAlignment="1" applyProtection="1">
      <alignment horizontal="left" vertical="center" wrapText="1"/>
      <protection locked="0"/>
    </xf>
    <xf numFmtId="49" fontId="2" fillId="0" borderId="16" xfId="1" applyNumberFormat="1" applyFont="1" applyBorder="1" applyAlignment="1" applyProtection="1">
      <alignment horizontal="left" vertical="center" wrapText="1"/>
      <protection locked="0"/>
    </xf>
    <xf numFmtId="3" fontId="2" fillId="0" borderId="16" xfId="1" applyNumberFormat="1" applyFont="1" applyBorder="1" applyAlignment="1" applyProtection="1">
      <alignment horizontal="center" vertical="center" wrapText="1"/>
      <protection locked="0"/>
    </xf>
    <xf numFmtId="4" fontId="14" fillId="0" borderId="16" xfId="1" applyNumberFormat="1" applyFont="1" applyBorder="1" applyAlignment="1" applyProtection="1">
      <alignment horizontal="left" vertical="center" wrapText="1"/>
      <protection locked="0"/>
    </xf>
    <xf numFmtId="4" fontId="15" fillId="0" borderId="18" xfId="1" quotePrefix="1" applyNumberFormat="1" applyFont="1" applyBorder="1" applyAlignment="1" applyProtection="1">
      <alignment horizontal="right" vertical="center" wrapText="1"/>
      <protection locked="0"/>
    </xf>
    <xf numFmtId="4" fontId="15" fillId="0" borderId="43" xfId="1" quotePrefix="1" applyNumberFormat="1" applyFont="1" applyBorder="1" applyAlignment="1" applyProtection="1">
      <alignment horizontal="right" vertical="center" wrapText="1"/>
      <protection locked="0"/>
    </xf>
    <xf numFmtId="164" fontId="16" fillId="0" borderId="43" xfId="1" applyNumberFormat="1" applyFont="1" applyBorder="1" applyAlignment="1" applyProtection="1">
      <alignment horizontal="right" vertical="center" wrapText="1"/>
      <protection locked="0"/>
    </xf>
    <xf numFmtId="164" fontId="16" fillId="0" borderId="15" xfId="1" applyNumberFormat="1" applyFont="1" applyBorder="1" applyAlignment="1" applyProtection="1">
      <alignment horizontal="right" vertical="center" wrapText="1"/>
      <protection locked="0"/>
    </xf>
    <xf numFmtId="164" fontId="16" fillId="0" borderId="16" xfId="1" applyNumberFormat="1" applyFont="1" applyBorder="1" applyAlignment="1" applyProtection="1">
      <alignment horizontal="right" vertical="center" wrapText="1"/>
      <protection locked="0"/>
    </xf>
    <xf numFmtId="164" fontId="16" fillId="0" borderId="17" xfId="1" applyNumberFormat="1" applyFont="1" applyBorder="1" applyAlignment="1" applyProtection="1">
      <alignment horizontal="right" vertical="center" wrapText="1"/>
      <protection locked="0"/>
    </xf>
    <xf numFmtId="164" fontId="17" fillId="0" borderId="44" xfId="1" applyNumberFormat="1" applyFont="1" applyBorder="1" applyAlignment="1" applyProtection="1">
      <alignment horizontal="right" vertical="center" wrapText="1"/>
      <protection locked="0"/>
    </xf>
    <xf numFmtId="164" fontId="17" fillId="0" borderId="15" xfId="1" applyNumberFormat="1" applyFont="1" applyBorder="1" applyAlignment="1" applyProtection="1">
      <alignment horizontal="right" vertical="center" wrapText="1"/>
      <protection locked="0"/>
    </xf>
    <xf numFmtId="164" fontId="17" fillId="0" borderId="16" xfId="1" applyNumberFormat="1" applyFont="1" applyBorder="1" applyAlignment="1" applyProtection="1">
      <alignment horizontal="right" vertical="center" wrapText="1"/>
      <protection locked="0"/>
    </xf>
    <xf numFmtId="164" fontId="17" fillId="0" borderId="18" xfId="1" applyNumberFormat="1" applyFont="1" applyBorder="1" applyAlignment="1" applyProtection="1">
      <alignment horizontal="right" vertical="center" wrapText="1"/>
      <protection locked="0"/>
    </xf>
    <xf numFmtId="164" fontId="16" fillId="0" borderId="19" xfId="1" applyNumberFormat="1" applyFont="1" applyBorder="1" applyAlignment="1" applyProtection="1">
      <alignment horizontal="right" vertical="center" wrapText="1"/>
      <protection locked="0"/>
    </xf>
    <xf numFmtId="164" fontId="16" fillId="0" borderId="44" xfId="1" applyNumberFormat="1" applyFont="1" applyBorder="1" applyAlignment="1" applyProtection="1">
      <alignment horizontal="right" vertical="center" wrapText="1"/>
      <protection locked="0"/>
    </xf>
    <xf numFmtId="164" fontId="13" fillId="0" borderId="27" xfId="1" quotePrefix="1" applyNumberFormat="1" applyFont="1" applyBorder="1" applyAlignment="1" applyProtection="1">
      <alignment horizontal="left" vertical="center" wrapText="1"/>
      <protection locked="0"/>
    </xf>
    <xf numFmtId="164" fontId="13" fillId="0" borderId="28" xfId="1" quotePrefix="1" applyNumberFormat="1" applyFont="1" applyBorder="1" applyAlignment="1" applyProtection="1">
      <alignment horizontal="left" vertical="center" wrapText="1"/>
      <protection locked="0"/>
    </xf>
    <xf numFmtId="164" fontId="2" fillId="0" borderId="28" xfId="1" applyNumberFormat="1" applyFont="1" applyBorder="1" applyAlignment="1" applyProtection="1">
      <alignment horizontal="center" vertical="center" wrapText="1"/>
      <protection locked="0"/>
    </xf>
    <xf numFmtId="164" fontId="7" fillId="0" borderId="28" xfId="1" applyNumberFormat="1" applyFont="1" applyBorder="1" applyAlignment="1" applyProtection="1">
      <alignment horizontal="left" vertical="center" wrapText="1"/>
      <protection locked="0"/>
    </xf>
    <xf numFmtId="164" fontId="7" fillId="0" borderId="29" xfId="1" quotePrefix="1" applyNumberFormat="1" applyFont="1" applyBorder="1" applyAlignment="1" applyProtection="1">
      <alignment horizontal="right" vertical="center" wrapText="1"/>
      <protection locked="0"/>
    </xf>
    <xf numFmtId="164" fontId="7" fillId="0" borderId="30" xfId="1" quotePrefix="1" applyNumberFormat="1" applyFont="1" applyBorder="1" applyAlignment="1" applyProtection="1">
      <alignment horizontal="right" vertical="center" wrapText="1"/>
      <protection locked="0"/>
    </xf>
    <xf numFmtId="164" fontId="8" fillId="0" borderId="10" xfId="1" applyNumberFormat="1" applyFont="1" applyBorder="1" applyAlignment="1" applyProtection="1">
      <alignment horizontal="right" vertical="center" wrapText="1"/>
      <protection locked="0"/>
    </xf>
    <xf numFmtId="164" fontId="8" fillId="0" borderId="29" xfId="1" applyNumberFormat="1" applyFont="1" applyBorder="1" applyAlignment="1" applyProtection="1">
      <alignment horizontal="right" vertical="center" wrapText="1"/>
      <protection locked="0"/>
    </xf>
    <xf numFmtId="164" fontId="13" fillId="0" borderId="34" xfId="1" applyNumberFormat="1" applyFont="1" applyBorder="1" applyAlignment="1" applyProtection="1">
      <alignment horizontal="left" vertical="center" wrapText="1"/>
      <protection locked="0"/>
    </xf>
    <xf numFmtId="164" fontId="13" fillId="0" borderId="35" xfId="1" applyNumberFormat="1" applyFont="1" applyBorder="1" applyAlignment="1" applyProtection="1">
      <alignment horizontal="left" vertical="center" wrapText="1"/>
      <protection locked="0"/>
    </xf>
    <xf numFmtId="164" fontId="2" fillId="0" borderId="35" xfId="1" applyNumberFormat="1" applyFont="1" applyBorder="1" applyAlignment="1" applyProtection="1">
      <alignment horizontal="center" vertical="center" wrapText="1"/>
      <protection locked="0"/>
    </xf>
    <xf numFmtId="164" fontId="7" fillId="0" borderId="35" xfId="1" applyNumberFormat="1" applyFont="1" applyBorder="1" applyAlignment="1" applyProtection="1">
      <alignment horizontal="left" vertical="center" wrapText="1"/>
      <protection locked="0"/>
    </xf>
    <xf numFmtId="164" fontId="7" fillId="0" borderId="41" xfId="1" quotePrefix="1" applyNumberFormat="1" applyFont="1" applyBorder="1" applyAlignment="1" applyProtection="1">
      <alignment horizontal="right" vertical="center" wrapText="1"/>
      <protection locked="0"/>
    </xf>
    <xf numFmtId="164" fontId="7" fillId="0" borderId="33" xfId="1" quotePrefix="1" applyNumberFormat="1" applyFont="1" applyBorder="1" applyAlignment="1" applyProtection="1">
      <alignment horizontal="right" vertical="center" wrapText="1"/>
      <protection locked="0"/>
    </xf>
    <xf numFmtId="164" fontId="8" fillId="0" borderId="41" xfId="1" applyNumberFormat="1" applyFont="1" applyBorder="1" applyAlignment="1" applyProtection="1">
      <alignment horizontal="right" vertical="center" wrapText="1"/>
      <protection locked="0"/>
    </xf>
    <xf numFmtId="164" fontId="2" fillId="0" borderId="19" xfId="1" applyNumberFormat="1" applyFont="1" applyBorder="1" applyAlignment="1" applyProtection="1">
      <alignment horizontal="center" vertical="center" wrapText="1"/>
      <protection locked="0"/>
    </xf>
    <xf numFmtId="164" fontId="2" fillId="0" borderId="16" xfId="1" applyNumberFormat="1" applyFont="1" applyBorder="1" applyAlignment="1" applyProtection="1">
      <alignment horizontal="left" vertical="center" wrapText="1"/>
      <protection locked="0"/>
    </xf>
    <xf numFmtId="164" fontId="2" fillId="0" borderId="16" xfId="1" applyNumberFormat="1" applyFont="1" applyBorder="1" applyAlignment="1" applyProtection="1">
      <alignment horizontal="center" vertical="center" wrapText="1"/>
      <protection locked="0"/>
    </xf>
    <xf numFmtId="164" fontId="15" fillId="0" borderId="16" xfId="1" applyNumberFormat="1" applyFont="1" applyBorder="1" applyAlignment="1" applyProtection="1">
      <alignment horizontal="left" vertical="center" wrapText="1"/>
      <protection locked="0"/>
    </xf>
    <xf numFmtId="164" fontId="15" fillId="0" borderId="18" xfId="1" quotePrefix="1" applyNumberFormat="1" applyFont="1" applyBorder="1" applyAlignment="1" applyProtection="1">
      <alignment horizontal="right" vertical="center" wrapText="1"/>
      <protection locked="0"/>
    </xf>
    <xf numFmtId="164" fontId="15" fillId="0" borderId="43" xfId="1" quotePrefix="1" applyNumberFormat="1" applyFont="1" applyBorder="1" applyAlignment="1" applyProtection="1">
      <alignment horizontal="right" vertical="center" wrapText="1"/>
      <protection locked="0"/>
    </xf>
    <xf numFmtId="164" fontId="16" fillId="0" borderId="18" xfId="1" applyNumberFormat="1" applyFont="1" applyBorder="1" applyAlignment="1" applyProtection="1">
      <alignment horizontal="right" vertical="center" wrapText="1"/>
      <protection locked="0"/>
    </xf>
    <xf numFmtId="164" fontId="18" fillId="0" borderId="34" xfId="1" quotePrefix="1" applyNumberFormat="1" applyFont="1" applyBorder="1" applyAlignment="1" applyProtection="1">
      <alignment horizontal="left" vertical="center" wrapText="1"/>
      <protection locked="0"/>
    </xf>
    <xf numFmtId="3" fontId="18" fillId="0" borderId="35" xfId="1" quotePrefix="1" applyNumberFormat="1" applyFont="1" applyBorder="1" applyAlignment="1" applyProtection="1">
      <alignment horizontal="center" vertical="center" wrapText="1"/>
      <protection locked="0"/>
    </xf>
    <xf numFmtId="164" fontId="18" fillId="0" borderId="35" xfId="1" quotePrefix="1" applyNumberFormat="1" applyFont="1" applyBorder="1" applyAlignment="1" applyProtection="1">
      <alignment horizontal="left" vertical="center" wrapText="1"/>
      <protection locked="0"/>
    </xf>
    <xf numFmtId="164" fontId="18" fillId="0" borderId="35" xfId="1" applyNumberFormat="1" applyFont="1" applyBorder="1" applyAlignment="1" applyProtection="1">
      <alignment horizontal="center" vertical="center" wrapText="1"/>
      <protection locked="0"/>
    </xf>
    <xf numFmtId="164" fontId="8" fillId="0" borderId="35" xfId="1" applyNumberFormat="1" applyFont="1" applyBorder="1" applyAlignment="1" applyProtection="1">
      <alignment horizontal="left" vertical="center" wrapText="1"/>
      <protection locked="0"/>
    </xf>
    <xf numFmtId="164" fontId="8" fillId="0" borderId="41" xfId="1" quotePrefix="1" applyNumberFormat="1" applyFont="1" applyBorder="1" applyAlignment="1" applyProtection="1">
      <alignment horizontal="right" vertical="center" wrapText="1"/>
      <protection locked="0"/>
    </xf>
    <xf numFmtId="164" fontId="8" fillId="0" borderId="43" xfId="1" quotePrefix="1" applyNumberFormat="1" applyFont="1" applyBorder="1" applyAlignment="1" applyProtection="1">
      <alignment horizontal="right" vertical="center" wrapText="1"/>
      <protection locked="0"/>
    </xf>
    <xf numFmtId="164" fontId="8" fillId="0" borderId="43" xfId="1" applyNumberFormat="1" applyFont="1" applyBorder="1" applyAlignment="1" applyProtection="1">
      <alignment horizontal="right" vertical="center" wrapText="1"/>
      <protection locked="0"/>
    </xf>
    <xf numFmtId="164" fontId="18" fillId="0" borderId="0" xfId="1" applyNumberFormat="1" applyFont="1" applyAlignment="1" applyProtection="1">
      <alignment vertical="top" wrapText="1"/>
      <protection locked="0"/>
    </xf>
    <xf numFmtId="164" fontId="2" fillId="0" borderId="34" xfId="1" applyNumberFormat="1" applyFont="1" applyBorder="1" applyAlignment="1" applyProtection="1">
      <alignment horizontal="center" vertical="center" wrapText="1"/>
      <protection locked="0"/>
    </xf>
    <xf numFmtId="164" fontId="13" fillId="0" borderId="35" xfId="1" quotePrefix="1" applyNumberFormat="1" applyFont="1" applyBorder="1" applyAlignment="1" applyProtection="1">
      <alignment horizontal="left" vertical="center" wrapText="1"/>
      <protection locked="0"/>
    </xf>
    <xf numFmtId="164" fontId="15" fillId="0" borderId="35" xfId="1" applyNumberFormat="1" applyFont="1" applyBorder="1" applyAlignment="1" applyProtection="1">
      <alignment horizontal="left" vertical="center" wrapText="1"/>
      <protection locked="0"/>
    </xf>
    <xf numFmtId="164" fontId="15" fillId="0" borderId="41" xfId="1" quotePrefix="1" applyNumberFormat="1" applyFont="1" applyBorder="1" applyAlignment="1" applyProtection="1">
      <alignment horizontal="right" vertical="center" wrapText="1"/>
      <protection locked="0"/>
    </xf>
    <xf numFmtId="164" fontId="15" fillId="0" borderId="33" xfId="1" quotePrefix="1" applyNumberFormat="1" applyFont="1" applyBorder="1" applyAlignment="1" applyProtection="1">
      <alignment horizontal="right" vertical="center" wrapText="1"/>
      <protection locked="0"/>
    </xf>
    <xf numFmtId="164" fontId="16" fillId="0" borderId="41" xfId="1" applyNumberFormat="1" applyFont="1" applyBorder="1" applyAlignment="1" applyProtection="1">
      <alignment horizontal="right" vertical="center" wrapText="1"/>
      <protection locked="0"/>
    </xf>
    <xf numFmtId="164" fontId="2" fillId="0" borderId="45" xfId="1" applyNumberFormat="1" applyFont="1" applyBorder="1" applyAlignment="1" applyProtection="1">
      <alignment horizontal="center" vertical="center" wrapText="1"/>
      <protection locked="0"/>
    </xf>
    <xf numFmtId="164" fontId="13" fillId="0" borderId="46" xfId="1" quotePrefix="1" applyNumberFormat="1" applyFont="1" applyBorder="1" applyAlignment="1" applyProtection="1">
      <alignment horizontal="left" vertical="center" wrapText="1"/>
      <protection locked="0"/>
    </xf>
    <xf numFmtId="164" fontId="2" fillId="0" borderId="46" xfId="1" applyNumberFormat="1" applyFont="1" applyBorder="1" applyAlignment="1" applyProtection="1">
      <alignment horizontal="center" vertical="center" wrapText="1"/>
      <protection locked="0"/>
    </xf>
    <xf numFmtId="164" fontId="15" fillId="0" borderId="46" xfId="1" applyNumberFormat="1" applyFont="1" applyBorder="1" applyAlignment="1" applyProtection="1">
      <alignment horizontal="left" vertical="center" wrapText="1"/>
      <protection locked="0"/>
    </xf>
    <xf numFmtId="164" fontId="15" fillId="0" borderId="47" xfId="1" quotePrefix="1" applyNumberFormat="1" applyFont="1" applyBorder="1" applyAlignment="1" applyProtection="1">
      <alignment horizontal="right" vertical="center" wrapText="1"/>
      <protection locked="0"/>
    </xf>
    <xf numFmtId="164" fontId="15" fillId="0" borderId="48" xfId="1" quotePrefix="1" applyNumberFormat="1" applyFont="1" applyBorder="1" applyAlignment="1" applyProtection="1">
      <alignment horizontal="right" vertical="center" wrapText="1"/>
      <protection locked="0"/>
    </xf>
    <xf numFmtId="164" fontId="19" fillId="2" borderId="30" xfId="1" applyNumberFormat="1" applyFont="1" applyFill="1" applyBorder="1" applyAlignment="1" applyProtection="1">
      <alignment horizontal="center" vertical="center" wrapText="1"/>
      <protection locked="0"/>
    </xf>
    <xf numFmtId="164" fontId="19" fillId="2" borderId="30" xfId="1" applyNumberFormat="1" applyFont="1" applyFill="1" applyBorder="1" applyAlignment="1" applyProtection="1">
      <alignment horizontal="right" vertical="center" wrapText="1"/>
      <protection locked="0"/>
    </xf>
    <xf numFmtId="164" fontId="19" fillId="2" borderId="31" xfId="1" applyNumberFormat="1" applyFont="1" applyFill="1" applyBorder="1" applyAlignment="1" applyProtection="1">
      <alignment horizontal="right" vertical="center" wrapText="1"/>
      <protection locked="0"/>
    </xf>
    <xf numFmtId="164" fontId="19" fillId="2" borderId="28" xfId="1" applyNumberFormat="1" applyFont="1" applyFill="1" applyBorder="1" applyAlignment="1" applyProtection="1">
      <alignment horizontal="right" vertical="center" wrapText="1"/>
      <protection locked="0"/>
    </xf>
    <xf numFmtId="164" fontId="19" fillId="2" borderId="32" xfId="1" applyNumberFormat="1" applyFont="1" applyFill="1" applyBorder="1" applyAlignment="1" applyProtection="1">
      <alignment horizontal="right" vertical="center" wrapText="1"/>
      <protection locked="0"/>
    </xf>
    <xf numFmtId="164" fontId="19" fillId="3" borderId="10" xfId="1" applyNumberFormat="1" applyFont="1" applyFill="1" applyBorder="1" applyAlignment="1" applyProtection="1">
      <alignment horizontal="right" vertical="center" wrapText="1"/>
      <protection locked="0"/>
    </xf>
    <xf numFmtId="164" fontId="19" fillId="3" borderId="31" xfId="1" applyNumberFormat="1" applyFont="1" applyFill="1" applyBorder="1" applyAlignment="1" applyProtection="1">
      <alignment horizontal="right" vertical="center" wrapText="1"/>
      <protection locked="0"/>
    </xf>
    <xf numFmtId="164" fontId="19" fillId="3" borderId="28" xfId="1" applyNumberFormat="1" applyFont="1" applyFill="1" applyBorder="1" applyAlignment="1" applyProtection="1">
      <alignment horizontal="right" vertical="center" wrapText="1"/>
      <protection locked="0"/>
    </xf>
    <xf numFmtId="164" fontId="19" fillId="3" borderId="29" xfId="1" applyNumberFormat="1" applyFont="1" applyFill="1" applyBorder="1" applyAlignment="1" applyProtection="1">
      <alignment horizontal="right" vertical="center" wrapText="1"/>
      <protection locked="0"/>
    </xf>
    <xf numFmtId="164" fontId="19" fillId="4" borderId="30" xfId="1" applyNumberFormat="1" applyFont="1" applyFill="1" applyBorder="1" applyAlignment="1" applyProtection="1">
      <alignment horizontal="right" vertical="center" wrapText="1"/>
      <protection locked="0"/>
    </xf>
    <xf numFmtId="164" fontId="19" fillId="4" borderId="31" xfId="1" applyNumberFormat="1" applyFont="1" applyFill="1" applyBorder="1" applyAlignment="1" applyProtection="1">
      <alignment horizontal="right" vertical="center" wrapText="1"/>
      <protection locked="0"/>
    </xf>
    <xf numFmtId="164" fontId="19" fillId="4" borderId="28" xfId="1" applyNumberFormat="1" applyFont="1" applyFill="1" applyBorder="1" applyAlignment="1" applyProtection="1">
      <alignment horizontal="right" vertical="center" wrapText="1"/>
      <protection locked="0"/>
    </xf>
    <xf numFmtId="164" fontId="19" fillId="4" borderId="32" xfId="1" applyNumberFormat="1" applyFont="1" applyFill="1" applyBorder="1" applyAlignment="1" applyProtection="1">
      <alignment horizontal="right" vertical="center" wrapText="1"/>
      <protection locked="0"/>
    </xf>
    <xf numFmtId="164" fontId="19" fillId="5" borderId="10" xfId="1" applyNumberFormat="1" applyFont="1" applyFill="1" applyBorder="1" applyAlignment="1" applyProtection="1">
      <alignment horizontal="right" vertical="center" wrapText="1"/>
      <protection locked="0"/>
    </xf>
    <xf numFmtId="164" fontId="19" fillId="5" borderId="31" xfId="1" applyNumberFormat="1" applyFont="1" applyFill="1" applyBorder="1" applyAlignment="1" applyProtection="1">
      <alignment horizontal="right" vertical="center" wrapText="1"/>
      <protection locked="0"/>
    </xf>
    <xf numFmtId="164" fontId="19" fillId="5" borderId="28" xfId="1" applyNumberFormat="1" applyFont="1" applyFill="1" applyBorder="1" applyAlignment="1" applyProtection="1">
      <alignment horizontal="right" vertical="center" wrapText="1"/>
      <protection locked="0"/>
    </xf>
    <xf numFmtId="164" fontId="19" fillId="5" borderId="32" xfId="1" applyNumberFormat="1" applyFont="1" applyFill="1" applyBorder="1" applyAlignment="1" applyProtection="1">
      <alignment horizontal="right" vertical="center" wrapText="1"/>
      <protection locked="0"/>
    </xf>
    <xf numFmtId="164" fontId="20" fillId="0" borderId="0" xfId="1" applyNumberFormat="1" applyFont="1" applyAlignment="1" applyProtection="1">
      <alignment vertical="top" wrapText="1"/>
      <protection locked="0"/>
    </xf>
    <xf numFmtId="164" fontId="7" fillId="2" borderId="48" xfId="1" applyNumberFormat="1" applyFont="1" applyFill="1" applyBorder="1" applyAlignment="1" applyProtection="1">
      <alignment horizontal="center" vertical="center" wrapText="1"/>
      <protection locked="0"/>
    </xf>
    <xf numFmtId="164" fontId="7" fillId="2" borderId="48" xfId="1" applyNumberFormat="1" applyFont="1" applyFill="1" applyBorder="1" applyAlignment="1" applyProtection="1">
      <alignment horizontal="right" vertical="center" wrapText="1"/>
      <protection locked="0"/>
    </xf>
    <xf numFmtId="164" fontId="7" fillId="2" borderId="49" xfId="1" applyNumberFormat="1" applyFont="1" applyFill="1" applyBorder="1" applyAlignment="1" applyProtection="1">
      <alignment horizontal="right" vertical="center" wrapText="1"/>
      <protection locked="0"/>
    </xf>
    <xf numFmtId="164" fontId="7" fillId="2" borderId="50" xfId="1" applyNumberFormat="1" applyFont="1" applyFill="1" applyBorder="1" applyAlignment="1" applyProtection="1">
      <alignment horizontal="right" vertical="center" wrapText="1"/>
      <protection locked="0"/>
    </xf>
    <xf numFmtId="164" fontId="7" fillId="2" borderId="51" xfId="1" applyNumberFormat="1" applyFont="1" applyFill="1" applyBorder="1" applyAlignment="1" applyProtection="1">
      <alignment horizontal="right" vertical="center" wrapText="1"/>
      <protection locked="0"/>
    </xf>
    <xf numFmtId="164" fontId="7" fillId="3" borderId="52" xfId="1" applyNumberFormat="1" applyFont="1" applyFill="1" applyBorder="1" applyAlignment="1" applyProtection="1">
      <alignment horizontal="right" vertical="center" wrapText="1"/>
      <protection locked="0"/>
    </xf>
    <xf numFmtId="164" fontId="7" fillId="3" borderId="49" xfId="1" applyNumberFormat="1" applyFont="1" applyFill="1" applyBorder="1" applyAlignment="1" applyProtection="1">
      <alignment horizontal="right" vertical="center" wrapText="1"/>
      <protection locked="0"/>
    </xf>
    <xf numFmtId="164" fontId="7" fillId="3" borderId="50" xfId="1" applyNumberFormat="1" applyFont="1" applyFill="1" applyBorder="1" applyAlignment="1" applyProtection="1">
      <alignment horizontal="right" vertical="center" wrapText="1"/>
      <protection locked="0"/>
    </xf>
    <xf numFmtId="164" fontId="7" fillId="3" borderId="53" xfId="1" applyNumberFormat="1" applyFont="1" applyFill="1" applyBorder="1" applyAlignment="1" applyProtection="1">
      <alignment horizontal="right" vertical="center" wrapText="1"/>
      <protection locked="0"/>
    </xf>
    <xf numFmtId="164" fontId="7" fillId="4" borderId="48" xfId="1" applyNumberFormat="1" applyFont="1" applyFill="1" applyBorder="1" applyAlignment="1" applyProtection="1">
      <alignment horizontal="right" vertical="center" wrapText="1"/>
      <protection locked="0"/>
    </xf>
    <xf numFmtId="164" fontId="7" fillId="4" borderId="49" xfId="1" applyNumberFormat="1" applyFont="1" applyFill="1" applyBorder="1" applyAlignment="1" applyProtection="1">
      <alignment horizontal="right" vertical="center" wrapText="1"/>
      <protection locked="0"/>
    </xf>
    <xf numFmtId="164" fontId="7" fillId="4" borderId="50" xfId="1" applyNumberFormat="1" applyFont="1" applyFill="1" applyBorder="1" applyAlignment="1" applyProtection="1">
      <alignment horizontal="right" vertical="center" wrapText="1"/>
      <protection locked="0"/>
    </xf>
    <xf numFmtId="164" fontId="7" fillId="4" borderId="51" xfId="1" applyNumberFormat="1" applyFont="1" applyFill="1" applyBorder="1" applyAlignment="1" applyProtection="1">
      <alignment horizontal="right" vertical="center" wrapText="1"/>
      <protection locked="0"/>
    </xf>
    <xf numFmtId="164" fontId="7" fillId="5" borderId="52" xfId="1" applyNumberFormat="1" applyFont="1" applyFill="1" applyBorder="1" applyAlignment="1" applyProtection="1">
      <alignment horizontal="right" vertical="center" wrapText="1"/>
      <protection locked="0"/>
    </xf>
    <xf numFmtId="164" fontId="7" fillId="5" borderId="49" xfId="1" applyNumberFormat="1" applyFont="1" applyFill="1" applyBorder="1" applyAlignment="1" applyProtection="1">
      <alignment horizontal="right" vertical="center" wrapText="1"/>
      <protection locked="0"/>
    </xf>
    <xf numFmtId="164" fontId="7" fillId="5" borderId="50" xfId="1" applyNumberFormat="1" applyFont="1" applyFill="1" applyBorder="1" applyAlignment="1" applyProtection="1">
      <alignment horizontal="right" vertical="center" wrapText="1"/>
      <protection locked="0"/>
    </xf>
    <xf numFmtId="164" fontId="7" fillId="5" borderId="51" xfId="1" applyNumberFormat="1" applyFont="1" applyFill="1" applyBorder="1" applyAlignment="1" applyProtection="1">
      <alignment horizontal="right" vertical="center" wrapText="1"/>
      <protection locked="0"/>
    </xf>
    <xf numFmtId="164" fontId="7" fillId="2" borderId="43" xfId="1" applyNumberFormat="1" applyFont="1" applyFill="1" applyBorder="1" applyAlignment="1" applyProtection="1">
      <alignment horizontal="center" vertical="center" wrapText="1"/>
      <protection locked="0"/>
    </xf>
    <xf numFmtId="164" fontId="7" fillId="2" borderId="33" xfId="1" applyNumberFormat="1" applyFont="1" applyFill="1" applyBorder="1" applyAlignment="1" applyProtection="1">
      <alignment horizontal="right" vertical="center" wrapText="1"/>
      <protection locked="0"/>
    </xf>
    <xf numFmtId="164" fontId="7" fillId="2" borderId="42" xfId="1" applyNumberFormat="1" applyFont="1" applyFill="1" applyBorder="1" applyAlignment="1" applyProtection="1">
      <alignment horizontal="right" vertical="center" wrapText="1"/>
      <protection locked="0"/>
    </xf>
    <xf numFmtId="164" fontId="7" fillId="2" borderId="35" xfId="1" applyNumberFormat="1" applyFont="1" applyFill="1" applyBorder="1" applyAlignment="1" applyProtection="1">
      <alignment horizontal="right" vertical="center" wrapText="1"/>
      <protection locked="0"/>
    </xf>
    <xf numFmtId="164" fontId="7" fillId="2" borderId="36" xfId="1" applyNumberFormat="1" applyFont="1" applyFill="1" applyBorder="1" applyAlignment="1" applyProtection="1">
      <alignment horizontal="right" vertical="center" wrapText="1"/>
      <protection locked="0"/>
    </xf>
    <xf numFmtId="164" fontId="7" fillId="3" borderId="37" xfId="1" applyNumberFormat="1" applyFont="1" applyFill="1" applyBorder="1" applyAlignment="1" applyProtection="1">
      <alignment horizontal="right" vertical="center" wrapText="1"/>
      <protection locked="0"/>
    </xf>
    <xf numFmtId="164" fontId="7" fillId="3" borderId="42" xfId="1" applyNumberFormat="1" applyFont="1" applyFill="1" applyBorder="1" applyAlignment="1" applyProtection="1">
      <alignment horizontal="right" vertical="center" wrapText="1"/>
      <protection locked="0"/>
    </xf>
    <xf numFmtId="164" fontId="7" fillId="3" borderId="35" xfId="1" applyNumberFormat="1" applyFont="1" applyFill="1" applyBorder="1" applyAlignment="1" applyProtection="1">
      <alignment horizontal="right" vertical="center" wrapText="1"/>
      <protection locked="0"/>
    </xf>
    <xf numFmtId="164" fontId="7" fillId="3" borderId="41" xfId="1" applyNumberFormat="1" applyFont="1" applyFill="1" applyBorder="1" applyAlignment="1" applyProtection="1">
      <alignment horizontal="right" vertical="center" wrapText="1"/>
      <protection locked="0"/>
    </xf>
    <xf numFmtId="164" fontId="7" fillId="4" borderId="33" xfId="1" applyNumberFormat="1" applyFont="1" applyFill="1" applyBorder="1" applyAlignment="1" applyProtection="1">
      <alignment horizontal="right" vertical="center" wrapText="1"/>
      <protection locked="0"/>
    </xf>
    <xf numFmtId="164" fontId="7" fillId="4" borderId="42" xfId="1" applyNumberFormat="1" applyFont="1" applyFill="1" applyBorder="1" applyAlignment="1" applyProtection="1">
      <alignment horizontal="right" vertical="center" wrapText="1"/>
      <protection locked="0"/>
    </xf>
    <xf numFmtId="164" fontId="7" fillId="4" borderId="35" xfId="1" applyNumberFormat="1" applyFont="1" applyFill="1" applyBorder="1" applyAlignment="1" applyProtection="1">
      <alignment horizontal="right" vertical="center" wrapText="1"/>
      <protection locked="0"/>
    </xf>
    <xf numFmtId="164" fontId="7" fillId="4" borderId="36" xfId="1" applyNumberFormat="1" applyFont="1" applyFill="1" applyBorder="1" applyAlignment="1" applyProtection="1">
      <alignment horizontal="right" vertical="center" wrapText="1"/>
      <protection locked="0"/>
    </xf>
    <xf numFmtId="164" fontId="7" fillId="5" borderId="37" xfId="1" applyNumberFormat="1" applyFont="1" applyFill="1" applyBorder="1" applyAlignment="1" applyProtection="1">
      <alignment horizontal="right" vertical="center" wrapText="1"/>
      <protection locked="0"/>
    </xf>
    <xf numFmtId="164" fontId="7" fillId="5" borderId="42" xfId="1" applyNumberFormat="1" applyFont="1" applyFill="1" applyBorder="1" applyAlignment="1" applyProtection="1">
      <alignment horizontal="right" vertical="center" wrapText="1"/>
      <protection locked="0"/>
    </xf>
    <xf numFmtId="164" fontId="7" fillId="5" borderId="35" xfId="1" applyNumberFormat="1" applyFont="1" applyFill="1" applyBorder="1" applyAlignment="1" applyProtection="1">
      <alignment horizontal="right" vertical="center" wrapText="1"/>
      <protection locked="0"/>
    </xf>
    <xf numFmtId="164" fontId="7" fillId="5" borderId="36" xfId="1" applyNumberFormat="1" applyFont="1" applyFill="1" applyBorder="1" applyAlignment="1" applyProtection="1">
      <alignment horizontal="right" vertical="center" wrapText="1"/>
      <protection locked="0"/>
    </xf>
    <xf numFmtId="164" fontId="19" fillId="2" borderId="33" xfId="1" applyNumberFormat="1" applyFont="1" applyFill="1" applyBorder="1" applyAlignment="1" applyProtection="1">
      <alignment horizontal="center" vertical="center" wrapText="1"/>
      <protection locked="0"/>
    </xf>
    <xf numFmtId="164" fontId="19" fillId="2" borderId="55" xfId="1" applyNumberFormat="1" applyFont="1" applyFill="1" applyBorder="1" applyAlignment="1" applyProtection="1">
      <alignment horizontal="right" vertical="center" wrapText="1"/>
      <protection locked="0"/>
    </xf>
    <xf numFmtId="164" fontId="19" fillId="2" borderId="42" xfId="1" applyNumberFormat="1" applyFont="1" applyFill="1" applyBorder="1" applyAlignment="1" applyProtection="1">
      <alignment horizontal="right" vertical="center" wrapText="1"/>
      <protection locked="0"/>
    </xf>
    <xf numFmtId="164" fontId="19" fillId="2" borderId="35" xfId="1" applyNumberFormat="1" applyFont="1" applyFill="1" applyBorder="1" applyAlignment="1" applyProtection="1">
      <alignment horizontal="right" vertical="center" wrapText="1"/>
      <protection locked="0"/>
    </xf>
    <xf numFmtId="164" fontId="19" fillId="2" borderId="36" xfId="1" applyNumberFormat="1" applyFont="1" applyFill="1" applyBorder="1" applyAlignment="1" applyProtection="1">
      <alignment horizontal="right" vertical="center" wrapText="1"/>
      <protection locked="0"/>
    </xf>
    <xf numFmtId="164" fontId="19" fillId="3" borderId="56" xfId="1" applyNumberFormat="1" applyFont="1" applyFill="1" applyBorder="1" applyAlignment="1" applyProtection="1">
      <alignment horizontal="right" vertical="center" wrapText="1"/>
      <protection locked="0"/>
    </xf>
    <xf numFmtId="164" fontId="19" fillId="3" borderId="42" xfId="1" applyNumberFormat="1" applyFont="1" applyFill="1" applyBorder="1" applyAlignment="1" applyProtection="1">
      <alignment horizontal="right" vertical="center" wrapText="1"/>
      <protection locked="0"/>
    </xf>
    <xf numFmtId="164" fontId="19" fillId="3" borderId="35" xfId="1" applyNumberFormat="1" applyFont="1" applyFill="1" applyBorder="1" applyAlignment="1" applyProtection="1">
      <alignment horizontal="right" vertical="center" wrapText="1"/>
      <protection locked="0"/>
    </xf>
    <xf numFmtId="164" fontId="19" fillId="3" borderId="41" xfId="1" applyNumberFormat="1" applyFont="1" applyFill="1" applyBorder="1" applyAlignment="1" applyProtection="1">
      <alignment horizontal="right" vertical="center" wrapText="1"/>
      <protection locked="0"/>
    </xf>
    <xf numFmtId="164" fontId="19" fillId="4" borderId="55" xfId="1" applyNumberFormat="1" applyFont="1" applyFill="1" applyBorder="1" applyAlignment="1" applyProtection="1">
      <alignment horizontal="right" vertical="center" wrapText="1"/>
      <protection locked="0"/>
    </xf>
    <xf numFmtId="164" fontId="19" fillId="4" borderId="42" xfId="1" applyNumberFormat="1" applyFont="1" applyFill="1" applyBorder="1" applyAlignment="1" applyProtection="1">
      <alignment horizontal="right" vertical="center" wrapText="1"/>
      <protection locked="0"/>
    </xf>
    <xf numFmtId="164" fontId="19" fillId="4" borderId="35" xfId="1" applyNumberFormat="1" applyFont="1" applyFill="1" applyBorder="1" applyAlignment="1" applyProtection="1">
      <alignment horizontal="right" vertical="center" wrapText="1"/>
      <protection locked="0"/>
    </xf>
    <xf numFmtId="164" fontId="19" fillId="4" borderId="36" xfId="1" applyNumberFormat="1" applyFont="1" applyFill="1" applyBorder="1" applyAlignment="1" applyProtection="1">
      <alignment horizontal="right" vertical="center" wrapText="1"/>
      <protection locked="0"/>
    </xf>
    <xf numFmtId="164" fontId="19" fillId="5" borderId="56" xfId="1" applyNumberFormat="1" applyFont="1" applyFill="1" applyBorder="1" applyAlignment="1" applyProtection="1">
      <alignment horizontal="right" vertical="center" wrapText="1"/>
      <protection locked="0"/>
    </xf>
    <xf numFmtId="164" fontId="19" fillId="5" borderId="42" xfId="1" applyNumberFormat="1" applyFont="1" applyFill="1" applyBorder="1" applyAlignment="1" applyProtection="1">
      <alignment horizontal="right" vertical="center" wrapText="1"/>
      <protection locked="0"/>
    </xf>
    <xf numFmtId="164" fontId="19" fillId="5" borderId="35" xfId="1" applyNumberFormat="1" applyFont="1" applyFill="1" applyBorder="1" applyAlignment="1" applyProtection="1">
      <alignment horizontal="right" vertical="center" wrapText="1"/>
      <protection locked="0"/>
    </xf>
    <xf numFmtId="164" fontId="19" fillId="5" borderId="36" xfId="1" applyNumberFormat="1" applyFont="1" applyFill="1" applyBorder="1" applyAlignment="1" applyProtection="1">
      <alignment horizontal="right" vertical="center" wrapText="1"/>
      <protection locked="0"/>
    </xf>
    <xf numFmtId="164" fontId="7" fillId="2" borderId="33" xfId="1" applyNumberFormat="1" applyFont="1" applyFill="1" applyBorder="1" applyAlignment="1" applyProtection="1">
      <alignment horizontal="center" vertical="center" wrapText="1"/>
      <protection locked="0"/>
    </xf>
    <xf numFmtId="164" fontId="7" fillId="2" borderId="55" xfId="1" applyNumberFormat="1" applyFont="1" applyFill="1" applyBorder="1" applyAlignment="1" applyProtection="1">
      <alignment horizontal="right" vertical="center" wrapText="1"/>
      <protection locked="0"/>
    </xf>
    <xf numFmtId="164" fontId="7" fillId="3" borderId="56" xfId="1" applyNumberFormat="1" applyFont="1" applyFill="1" applyBorder="1" applyAlignment="1" applyProtection="1">
      <alignment horizontal="right" vertical="center" wrapText="1"/>
      <protection locked="0"/>
    </xf>
    <xf numFmtId="164" fontId="7" fillId="4" borderId="55" xfId="1" applyNumberFormat="1" applyFont="1" applyFill="1" applyBorder="1" applyAlignment="1" applyProtection="1">
      <alignment horizontal="right" vertical="center" wrapText="1"/>
      <protection locked="0"/>
    </xf>
    <xf numFmtId="164" fontId="7" fillId="5" borderId="56" xfId="1" applyNumberFormat="1" applyFont="1" applyFill="1" applyBorder="1" applyAlignment="1" applyProtection="1">
      <alignment horizontal="right" vertical="center" wrapText="1"/>
      <protection locked="0"/>
    </xf>
    <xf numFmtId="164" fontId="19" fillId="2" borderId="55" xfId="1" applyNumberFormat="1" applyFont="1" applyFill="1" applyBorder="1" applyAlignment="1" applyProtection="1">
      <alignment horizontal="center" vertical="center" wrapText="1"/>
      <protection locked="0"/>
    </xf>
    <xf numFmtId="164" fontId="19" fillId="2" borderId="57" xfId="1" applyNumberFormat="1" applyFont="1" applyFill="1" applyBorder="1" applyAlignment="1" applyProtection="1">
      <alignment horizontal="right" vertical="center" wrapText="1"/>
      <protection locked="0"/>
    </xf>
    <xf numFmtId="164" fontId="19" fillId="2" borderId="15" xfId="1" applyNumberFormat="1" applyFont="1" applyFill="1" applyBorder="1" applyAlignment="1" applyProtection="1">
      <alignment horizontal="right" vertical="center" wrapText="1"/>
      <protection locked="0"/>
    </xf>
    <xf numFmtId="164" fontId="19" fillId="2" borderId="16" xfId="1" applyNumberFormat="1" applyFont="1" applyFill="1" applyBorder="1" applyAlignment="1" applyProtection="1">
      <alignment horizontal="right" vertical="center" wrapText="1"/>
      <protection locked="0"/>
    </xf>
    <xf numFmtId="164" fontId="19" fillId="2" borderId="17" xfId="1" applyNumberFormat="1" applyFont="1" applyFill="1" applyBorder="1" applyAlignment="1" applyProtection="1">
      <alignment horizontal="right" vertical="center" wrapText="1"/>
      <protection locked="0"/>
    </xf>
    <xf numFmtId="164" fontId="19" fillId="3" borderId="33" xfId="1" applyNumberFormat="1" applyFont="1" applyFill="1" applyBorder="1" applyAlignment="1" applyProtection="1">
      <alignment horizontal="right" vertical="center" wrapText="1"/>
      <protection locked="0"/>
    </xf>
    <xf numFmtId="164" fontId="19" fillId="3" borderId="15" xfId="1" applyNumberFormat="1" applyFont="1" applyFill="1" applyBorder="1" applyAlignment="1" applyProtection="1">
      <alignment horizontal="right" vertical="center" wrapText="1"/>
      <protection locked="0"/>
    </xf>
    <xf numFmtId="164" fontId="19" fillId="3" borderId="16" xfId="1" applyNumberFormat="1" applyFont="1" applyFill="1" applyBorder="1" applyAlignment="1" applyProtection="1">
      <alignment horizontal="right" vertical="center" wrapText="1"/>
      <protection locked="0"/>
    </xf>
    <xf numFmtId="164" fontId="19" fillId="3" borderId="18" xfId="1" applyNumberFormat="1" applyFont="1" applyFill="1" applyBorder="1" applyAlignment="1" applyProtection="1">
      <alignment horizontal="right" vertical="center" wrapText="1"/>
      <protection locked="0"/>
    </xf>
    <xf numFmtId="164" fontId="19" fillId="4" borderId="33" xfId="1" applyNumberFormat="1" applyFont="1" applyFill="1" applyBorder="1" applyAlignment="1" applyProtection="1">
      <alignment horizontal="right" vertical="center" wrapText="1"/>
      <protection locked="0"/>
    </xf>
    <xf numFmtId="164" fontId="19" fillId="4" borderId="15" xfId="1" applyNumberFormat="1" applyFont="1" applyFill="1" applyBorder="1" applyAlignment="1" applyProtection="1">
      <alignment horizontal="right" vertical="center" wrapText="1"/>
      <protection locked="0"/>
    </xf>
    <xf numFmtId="164" fontId="19" fillId="4" borderId="16" xfId="1" applyNumberFormat="1" applyFont="1" applyFill="1" applyBorder="1" applyAlignment="1" applyProtection="1">
      <alignment horizontal="right" vertical="center" wrapText="1"/>
      <protection locked="0"/>
    </xf>
    <xf numFmtId="164" fontId="19" fillId="4" borderId="17" xfId="1" applyNumberFormat="1" applyFont="1" applyFill="1" applyBorder="1" applyAlignment="1" applyProtection="1">
      <alignment horizontal="right" vertical="center" wrapText="1"/>
      <protection locked="0"/>
    </xf>
    <xf numFmtId="164" fontId="19" fillId="5" borderId="58" xfId="1" applyNumberFormat="1" applyFont="1" applyFill="1" applyBorder="1" applyAlignment="1" applyProtection="1">
      <alignment horizontal="right" vertical="center" wrapText="1"/>
      <protection locked="0"/>
    </xf>
    <xf numFmtId="164" fontId="19" fillId="5" borderId="15" xfId="1" applyNumberFormat="1" applyFont="1" applyFill="1" applyBorder="1" applyAlignment="1" applyProtection="1">
      <alignment horizontal="right" vertical="center" wrapText="1"/>
      <protection locked="0"/>
    </xf>
    <xf numFmtId="164" fontId="19" fillId="5" borderId="16" xfId="1" applyNumberFormat="1" applyFont="1" applyFill="1" applyBorder="1" applyAlignment="1" applyProtection="1">
      <alignment horizontal="right" vertical="center" wrapText="1"/>
      <protection locked="0"/>
    </xf>
    <xf numFmtId="164" fontId="19" fillId="5" borderId="17" xfId="1" applyNumberFormat="1" applyFont="1" applyFill="1" applyBorder="1" applyAlignment="1" applyProtection="1">
      <alignment horizontal="right" vertical="center" wrapText="1"/>
      <protection locked="0"/>
    </xf>
    <xf numFmtId="164" fontId="7" fillId="2" borderId="43" xfId="1" applyNumberFormat="1" applyFont="1" applyFill="1" applyBorder="1" applyAlignment="1" applyProtection="1">
      <alignment horizontal="right" vertical="center" wrapText="1"/>
      <protection locked="0"/>
    </xf>
    <xf numFmtId="164" fontId="7" fillId="2" borderId="15" xfId="1" applyNumberFormat="1" applyFont="1" applyFill="1" applyBorder="1" applyAlignment="1" applyProtection="1">
      <alignment horizontal="right" vertical="center" wrapText="1"/>
      <protection locked="0"/>
    </xf>
    <xf numFmtId="164" fontId="7" fillId="2" borderId="16" xfId="1" applyNumberFormat="1" applyFont="1" applyFill="1" applyBorder="1" applyAlignment="1" applyProtection="1">
      <alignment horizontal="right" vertical="center" wrapText="1"/>
      <protection locked="0"/>
    </xf>
    <xf numFmtId="164" fontId="7" fillId="2" borderId="17" xfId="1" applyNumberFormat="1" applyFont="1" applyFill="1" applyBorder="1" applyAlignment="1" applyProtection="1">
      <alignment horizontal="right" vertical="center" wrapText="1"/>
      <protection locked="0"/>
    </xf>
    <xf numFmtId="164" fontId="7" fillId="3" borderId="48" xfId="1" applyNumberFormat="1" applyFont="1" applyFill="1" applyBorder="1" applyAlignment="1" applyProtection="1">
      <alignment horizontal="right" vertical="center" wrapText="1"/>
      <protection locked="0"/>
    </xf>
    <xf numFmtId="164" fontId="7" fillId="3" borderId="15" xfId="1" applyNumberFormat="1" applyFont="1" applyFill="1" applyBorder="1" applyAlignment="1" applyProtection="1">
      <alignment horizontal="right" vertical="center" wrapText="1"/>
      <protection locked="0"/>
    </xf>
    <xf numFmtId="164" fontId="7" fillId="3" borderId="16" xfId="1" applyNumberFormat="1" applyFont="1" applyFill="1" applyBorder="1" applyAlignment="1" applyProtection="1">
      <alignment horizontal="right" vertical="center" wrapText="1"/>
      <protection locked="0"/>
    </xf>
    <xf numFmtId="164" fontId="7" fillId="3" borderId="18" xfId="1" applyNumberFormat="1" applyFont="1" applyFill="1" applyBorder="1" applyAlignment="1" applyProtection="1">
      <alignment horizontal="right" vertical="center" wrapText="1"/>
      <protection locked="0"/>
    </xf>
    <xf numFmtId="164" fontId="7" fillId="4" borderId="15" xfId="1" applyNumberFormat="1" applyFont="1" applyFill="1" applyBorder="1" applyAlignment="1" applyProtection="1">
      <alignment horizontal="right" vertical="center" wrapText="1"/>
      <protection locked="0"/>
    </xf>
    <xf numFmtId="164" fontId="7" fillId="4" borderId="16" xfId="1" applyNumberFormat="1" applyFont="1" applyFill="1" applyBorder="1" applyAlignment="1" applyProtection="1">
      <alignment horizontal="right" vertical="center" wrapText="1"/>
      <protection locked="0"/>
    </xf>
    <xf numFmtId="164" fontId="7" fillId="4" borderId="17" xfId="1" applyNumberFormat="1" applyFont="1" applyFill="1" applyBorder="1" applyAlignment="1" applyProtection="1">
      <alignment horizontal="right" vertical="center" wrapText="1"/>
      <protection locked="0"/>
    </xf>
    <xf numFmtId="164" fontId="7" fillId="5" borderId="58" xfId="1" applyNumberFormat="1" applyFont="1" applyFill="1" applyBorder="1" applyAlignment="1" applyProtection="1">
      <alignment horizontal="right" vertical="center" wrapText="1"/>
      <protection locked="0"/>
    </xf>
    <xf numFmtId="164" fontId="7" fillId="5" borderId="15" xfId="1" applyNumberFormat="1" applyFont="1" applyFill="1" applyBorder="1" applyAlignment="1" applyProtection="1">
      <alignment horizontal="right" vertical="center" wrapText="1"/>
      <protection locked="0"/>
    </xf>
    <xf numFmtId="164" fontId="7" fillId="5" borderId="16" xfId="1" applyNumberFormat="1" applyFont="1" applyFill="1" applyBorder="1" applyAlignment="1" applyProtection="1">
      <alignment horizontal="right" vertical="center" wrapText="1"/>
      <protection locked="0"/>
    </xf>
    <xf numFmtId="164" fontId="7" fillId="5" borderId="17" xfId="1" applyNumberFormat="1" applyFont="1" applyFill="1" applyBorder="1" applyAlignment="1" applyProtection="1">
      <alignment horizontal="right" vertical="center" wrapText="1"/>
      <protection locked="0"/>
    </xf>
    <xf numFmtId="164" fontId="2" fillId="0" borderId="0" xfId="1" applyNumberFormat="1" applyFont="1" applyAlignment="1" applyProtection="1">
      <alignment wrapText="1"/>
      <protection locked="0"/>
    </xf>
    <xf numFmtId="164" fontId="20" fillId="0" borderId="0" xfId="1" applyNumberFormat="1" applyFont="1" applyAlignment="1" applyProtection="1">
      <alignment wrapText="1"/>
      <protection locked="0"/>
    </xf>
    <xf numFmtId="164" fontId="19" fillId="7" borderId="42" xfId="1" applyNumberFormat="1" applyFont="1" applyFill="1" applyBorder="1" applyAlignment="1">
      <alignment horizontal="right" vertical="center" wrapText="1"/>
    </xf>
    <xf numFmtId="164" fontId="19" fillId="7" borderId="35" xfId="1" applyNumberFormat="1" applyFont="1" applyFill="1" applyBorder="1" applyAlignment="1">
      <alignment horizontal="right" vertical="center" wrapText="1"/>
    </xf>
    <xf numFmtId="164" fontId="19" fillId="7" borderId="36" xfId="1" applyNumberFormat="1" applyFont="1" applyFill="1" applyBorder="1" applyAlignment="1">
      <alignment horizontal="right" vertical="center" wrapText="1"/>
    </xf>
    <xf numFmtId="164" fontId="19" fillId="8" borderId="42" xfId="1" applyNumberFormat="1" applyFont="1" applyFill="1" applyBorder="1" applyAlignment="1">
      <alignment horizontal="right" vertical="center" wrapText="1"/>
    </xf>
    <xf numFmtId="164" fontId="19" fillId="8" borderId="35" xfId="1" applyNumberFormat="1" applyFont="1" applyFill="1" applyBorder="1" applyAlignment="1">
      <alignment horizontal="right" vertical="center" wrapText="1"/>
    </xf>
    <xf numFmtId="164" fontId="19" fillId="8" borderId="41" xfId="1" applyNumberFormat="1" applyFont="1" applyFill="1" applyBorder="1" applyAlignment="1">
      <alignment horizontal="right" vertical="center" wrapText="1"/>
    </xf>
    <xf numFmtId="164" fontId="19" fillId="9" borderId="42" xfId="1" applyNumberFormat="1" applyFont="1" applyFill="1" applyBorder="1" applyAlignment="1">
      <alignment horizontal="right" vertical="center" wrapText="1"/>
    </xf>
    <xf numFmtId="164" fontId="19" fillId="9" borderId="35" xfId="1" applyNumberFormat="1" applyFont="1" applyFill="1" applyBorder="1" applyAlignment="1">
      <alignment horizontal="right" vertical="center" wrapText="1"/>
    </xf>
    <xf numFmtId="164" fontId="19" fillId="9" borderId="36" xfId="1" applyNumberFormat="1" applyFont="1" applyFill="1" applyBorder="1" applyAlignment="1">
      <alignment horizontal="right" vertical="center" wrapText="1"/>
    </xf>
    <xf numFmtId="164" fontId="19" fillId="10" borderId="42" xfId="1" applyNumberFormat="1" applyFont="1" applyFill="1" applyBorder="1" applyAlignment="1">
      <alignment horizontal="right" vertical="center" wrapText="1"/>
    </xf>
    <xf numFmtId="164" fontId="19" fillId="10" borderId="35" xfId="1" applyNumberFormat="1" applyFont="1" applyFill="1" applyBorder="1" applyAlignment="1">
      <alignment horizontal="right" vertical="center" wrapText="1"/>
    </xf>
    <xf numFmtId="164" fontId="19" fillId="10" borderId="36" xfId="1" applyNumberFormat="1" applyFont="1" applyFill="1" applyBorder="1" applyAlignment="1">
      <alignment horizontal="right" vertical="center" wrapText="1"/>
    </xf>
    <xf numFmtId="164" fontId="7" fillId="7" borderId="42" xfId="1" applyNumberFormat="1" applyFont="1" applyFill="1" applyBorder="1" applyAlignment="1">
      <alignment horizontal="right" vertical="center" wrapText="1"/>
    </xf>
    <xf numFmtId="164" fontId="7" fillId="7" borderId="35" xfId="1" applyNumberFormat="1" applyFont="1" applyFill="1" applyBorder="1" applyAlignment="1">
      <alignment horizontal="right" vertical="center" wrapText="1"/>
    </xf>
    <xf numFmtId="164" fontId="7" fillId="7" borderId="36" xfId="1" applyNumberFormat="1" applyFont="1" applyFill="1" applyBorder="1" applyAlignment="1">
      <alignment horizontal="right" vertical="center" wrapText="1"/>
    </xf>
    <xf numFmtId="164" fontId="7" fillId="8" borderId="42" xfId="1" applyNumberFormat="1" applyFont="1" applyFill="1" applyBorder="1" applyAlignment="1">
      <alignment horizontal="right" vertical="center" wrapText="1"/>
    </xf>
    <xf numFmtId="164" fontId="7" fillId="8" borderId="35" xfId="1" applyNumberFormat="1" applyFont="1" applyFill="1" applyBorder="1" applyAlignment="1">
      <alignment horizontal="right" vertical="center" wrapText="1"/>
    </xf>
    <xf numFmtId="164" fontId="7" fillId="8" borderId="41" xfId="1" applyNumberFormat="1" applyFont="1" applyFill="1" applyBorder="1" applyAlignment="1">
      <alignment horizontal="right" vertical="center" wrapText="1"/>
    </xf>
    <xf numFmtId="164" fontId="7" fillId="9" borderId="42" xfId="1" applyNumberFormat="1" applyFont="1" applyFill="1" applyBorder="1" applyAlignment="1">
      <alignment horizontal="right" vertical="center" wrapText="1"/>
    </xf>
    <xf numFmtId="164" fontId="7" fillId="9" borderId="35" xfId="1" applyNumberFormat="1" applyFont="1" applyFill="1" applyBorder="1" applyAlignment="1">
      <alignment horizontal="right" vertical="center" wrapText="1"/>
    </xf>
    <xf numFmtId="164" fontId="7" fillId="9" borderId="36" xfId="1" applyNumberFormat="1" applyFont="1" applyFill="1" applyBorder="1" applyAlignment="1">
      <alignment horizontal="right" vertical="center" wrapText="1"/>
    </xf>
    <xf numFmtId="164" fontId="7" fillId="10" borderId="42" xfId="1" applyNumberFormat="1" applyFont="1" applyFill="1" applyBorder="1" applyAlignment="1">
      <alignment horizontal="right" vertical="center" wrapText="1"/>
    </xf>
    <xf numFmtId="164" fontId="7" fillId="10" borderId="35" xfId="1" applyNumberFormat="1" applyFont="1" applyFill="1" applyBorder="1" applyAlignment="1">
      <alignment horizontal="right" vertical="center" wrapText="1"/>
    </xf>
    <xf numFmtId="164" fontId="7" fillId="10" borderId="36" xfId="1" applyNumberFormat="1" applyFont="1" applyFill="1" applyBorder="1" applyAlignment="1">
      <alignment horizontal="right" vertical="center" wrapText="1"/>
    </xf>
    <xf numFmtId="164" fontId="22" fillId="0" borderId="33" xfId="1" applyNumberFormat="1" applyFont="1" applyBorder="1" applyAlignment="1" applyProtection="1">
      <alignment horizontal="center" vertical="center" wrapText="1"/>
      <protection locked="0"/>
    </xf>
    <xf numFmtId="164" fontId="22" fillId="0" borderId="33" xfId="1" applyNumberFormat="1" applyFont="1" applyBorder="1" applyAlignment="1">
      <alignment vertical="center" wrapText="1"/>
    </xf>
    <xf numFmtId="164" fontId="22" fillId="0" borderId="42" xfId="1" applyNumberFormat="1" applyFont="1" applyBorder="1" applyAlignment="1">
      <alignment vertical="center" wrapText="1"/>
    </xf>
    <xf numFmtId="164" fontId="22" fillId="0" borderId="35" xfId="1" applyNumberFormat="1" applyFont="1" applyBorder="1" applyAlignment="1">
      <alignment vertical="center" wrapText="1"/>
    </xf>
    <xf numFmtId="164" fontId="22" fillId="0" borderId="36" xfId="1" applyNumberFormat="1" applyFont="1" applyBorder="1" applyAlignment="1">
      <alignment vertical="center" wrapText="1"/>
    </xf>
    <xf numFmtId="164" fontId="22" fillId="0" borderId="37" xfId="1" applyNumberFormat="1" applyFont="1" applyBorder="1" applyAlignment="1">
      <alignment vertical="center" wrapText="1"/>
    </xf>
    <xf numFmtId="164" fontId="22" fillId="0" borderId="41" xfId="1" applyNumberFormat="1" applyFont="1" applyBorder="1" applyAlignment="1">
      <alignment vertical="center" wrapText="1"/>
    </xf>
    <xf numFmtId="164" fontId="22" fillId="0" borderId="33" xfId="1" applyNumberFormat="1" applyFont="1" applyBorder="1" applyAlignment="1">
      <alignment wrapText="1"/>
    </xf>
    <xf numFmtId="164" fontId="20" fillId="0" borderId="34" xfId="1" applyNumberFormat="1" applyFont="1" applyBorder="1" applyAlignment="1" applyProtection="1">
      <alignment wrapText="1"/>
      <protection locked="0"/>
    </xf>
    <xf numFmtId="164" fontId="20" fillId="0" borderId="35" xfId="1" applyNumberFormat="1" applyFont="1" applyBorder="1" applyAlignment="1" applyProtection="1">
      <alignment wrapText="1"/>
      <protection locked="0"/>
    </xf>
    <xf numFmtId="164" fontId="20" fillId="0" borderId="41" xfId="1" applyNumberFormat="1" applyFont="1" applyBorder="1" applyAlignment="1" applyProtection="1">
      <alignment wrapText="1"/>
      <protection locked="0"/>
    </xf>
    <xf numFmtId="164" fontId="15" fillId="0" borderId="33" xfId="1" applyNumberFormat="1" applyFont="1" applyBorder="1" applyAlignment="1" applyProtection="1">
      <alignment horizontal="center" vertical="center" wrapText="1"/>
      <protection locked="0"/>
    </xf>
    <xf numFmtId="164" fontId="15" fillId="0" borderId="33" xfId="1" applyNumberFormat="1" applyFont="1" applyBorder="1" applyAlignment="1">
      <alignment vertical="center" wrapText="1"/>
    </xf>
    <xf numFmtId="164" fontId="15" fillId="0" borderId="42" xfId="1" applyNumberFormat="1" applyFont="1" applyBorder="1" applyAlignment="1">
      <alignment vertical="center" wrapText="1"/>
    </xf>
    <xf numFmtId="164" fontId="15" fillId="0" borderId="35" xfId="1" applyNumberFormat="1" applyFont="1" applyBorder="1" applyAlignment="1">
      <alignment vertical="center" wrapText="1"/>
    </xf>
    <xf numFmtId="164" fontId="15" fillId="0" borderId="36" xfId="1" applyNumberFormat="1" applyFont="1" applyBorder="1" applyAlignment="1">
      <alignment vertical="center" wrapText="1"/>
    </xf>
    <xf numFmtId="164" fontId="15" fillId="0" borderId="37" xfId="1" applyNumberFormat="1" applyFont="1" applyBorder="1" applyAlignment="1">
      <alignment vertical="center" wrapText="1"/>
    </xf>
    <xf numFmtId="164" fontId="15" fillId="0" borderId="41" xfId="1" applyNumberFormat="1" applyFont="1" applyBorder="1" applyAlignment="1">
      <alignment vertical="center" wrapText="1"/>
    </xf>
    <xf numFmtId="164" fontId="15" fillId="0" borderId="33" xfId="1" applyNumberFormat="1" applyFont="1" applyBorder="1" applyAlignment="1">
      <alignment wrapText="1"/>
    </xf>
    <xf numFmtId="164" fontId="2" fillId="0" borderId="34" xfId="1" applyNumberFormat="1" applyFont="1" applyBorder="1" applyAlignment="1" applyProtection="1">
      <alignment wrapText="1"/>
      <protection locked="0"/>
    </xf>
    <xf numFmtId="164" fontId="2" fillId="0" borderId="35" xfId="1" applyNumberFormat="1" applyFont="1" applyBorder="1" applyAlignment="1" applyProtection="1">
      <alignment wrapText="1"/>
      <protection locked="0"/>
    </xf>
    <xf numFmtId="164" fontId="2" fillId="0" borderId="41" xfId="1" applyNumberFormat="1" applyFont="1" applyBorder="1" applyAlignment="1" applyProtection="1">
      <alignment wrapText="1"/>
      <protection locked="0"/>
    </xf>
    <xf numFmtId="164" fontId="15" fillId="0" borderId="34" xfId="1" applyNumberFormat="1" applyFont="1" applyBorder="1" applyAlignment="1">
      <alignment vertical="center" wrapText="1"/>
    </xf>
    <xf numFmtId="164" fontId="23" fillId="11" borderId="33" xfId="1" applyNumberFormat="1" applyFont="1" applyFill="1" applyBorder="1" applyAlignment="1" applyProtection="1">
      <alignment horizontal="center" vertical="center" wrapText="1"/>
      <protection locked="0"/>
    </xf>
    <xf numFmtId="164" fontId="23" fillId="0" borderId="33" xfId="1" applyNumberFormat="1" applyFont="1" applyBorder="1" applyAlignment="1">
      <alignment vertical="center" wrapText="1"/>
    </xf>
    <xf numFmtId="164" fontId="23" fillId="0" borderId="42" xfId="1" applyNumberFormat="1" applyFont="1" applyBorder="1" applyAlignment="1">
      <alignment vertical="center" wrapText="1"/>
    </xf>
    <xf numFmtId="164" fontId="23" fillId="0" borderId="35" xfId="1" applyNumberFormat="1" applyFont="1" applyBorder="1" applyAlignment="1">
      <alignment vertical="center" wrapText="1"/>
    </xf>
    <xf numFmtId="164" fontId="23" fillId="0" borderId="36" xfId="1" applyNumberFormat="1" applyFont="1" applyBorder="1" applyAlignment="1">
      <alignment vertical="center" wrapText="1"/>
    </xf>
    <xf numFmtId="164" fontId="23" fillId="0" borderId="37" xfId="1" applyNumberFormat="1" applyFont="1" applyBorder="1" applyAlignment="1">
      <alignment vertical="center" wrapText="1"/>
    </xf>
    <xf numFmtId="164" fontId="23" fillId="0" borderId="41" xfId="1" applyNumberFormat="1" applyFont="1" applyBorder="1" applyAlignment="1">
      <alignment vertical="center" wrapText="1"/>
    </xf>
    <xf numFmtId="164" fontId="23" fillId="0" borderId="33" xfId="1" applyNumberFormat="1" applyFont="1" applyBorder="1" applyAlignment="1">
      <alignment wrapText="1"/>
    </xf>
    <xf numFmtId="164" fontId="24" fillId="0" borderId="34" xfId="1" applyNumberFormat="1" applyFont="1" applyBorder="1" applyAlignment="1" applyProtection="1">
      <alignment wrapText="1"/>
      <protection locked="0"/>
    </xf>
    <xf numFmtId="164" fontId="24" fillId="0" borderId="35" xfId="1" applyNumberFormat="1" applyFont="1" applyBorder="1" applyAlignment="1" applyProtection="1">
      <alignment wrapText="1"/>
      <protection locked="0"/>
    </xf>
    <xf numFmtId="164" fontId="24" fillId="0" borderId="41" xfId="1" applyNumberFormat="1" applyFont="1" applyBorder="1" applyAlignment="1" applyProtection="1">
      <alignment wrapText="1"/>
      <protection locked="0"/>
    </xf>
    <xf numFmtId="164" fontId="24" fillId="0" borderId="0" xfId="1" applyNumberFormat="1" applyFont="1" applyAlignment="1" applyProtection="1">
      <alignment wrapText="1"/>
      <protection locked="0"/>
    </xf>
    <xf numFmtId="164" fontId="22" fillId="11" borderId="33" xfId="1" applyNumberFormat="1" applyFont="1" applyFill="1" applyBorder="1" applyAlignment="1" applyProtection="1">
      <alignment horizontal="center" vertical="center" wrapText="1"/>
      <protection locked="0"/>
    </xf>
    <xf numFmtId="164" fontId="19" fillId="7" borderId="33" xfId="1" applyNumberFormat="1" applyFont="1" applyFill="1" applyBorder="1" applyAlignment="1">
      <alignment vertical="center" wrapText="1"/>
    </xf>
    <xf numFmtId="164" fontId="19" fillId="7" borderId="42" xfId="1" applyNumberFormat="1" applyFont="1" applyFill="1" applyBorder="1" applyAlignment="1">
      <alignment vertical="center" wrapText="1"/>
    </xf>
    <xf numFmtId="164" fontId="19" fillId="7" borderId="35" xfId="1" applyNumberFormat="1" applyFont="1" applyFill="1" applyBorder="1" applyAlignment="1">
      <alignment vertical="center" wrapText="1"/>
    </xf>
    <xf numFmtId="164" fontId="19" fillId="7" borderId="36" xfId="1" applyNumberFormat="1" applyFont="1" applyFill="1" applyBorder="1" applyAlignment="1">
      <alignment vertical="center" wrapText="1"/>
    </xf>
    <xf numFmtId="164" fontId="19" fillId="8" borderId="37" xfId="1" applyNumberFormat="1" applyFont="1" applyFill="1" applyBorder="1" applyAlignment="1">
      <alignment vertical="center" wrapText="1"/>
    </xf>
    <xf numFmtId="164" fontId="19" fillId="8" borderId="42" xfId="1" applyNumberFormat="1" applyFont="1" applyFill="1" applyBorder="1" applyAlignment="1">
      <alignment vertical="center" wrapText="1"/>
    </xf>
    <xf numFmtId="164" fontId="19" fillId="8" borderId="35" xfId="1" applyNumberFormat="1" applyFont="1" applyFill="1" applyBorder="1" applyAlignment="1">
      <alignment vertical="center" wrapText="1"/>
    </xf>
    <xf numFmtId="164" fontId="19" fillId="8" borderId="41" xfId="1" applyNumberFormat="1" applyFont="1" applyFill="1" applyBorder="1" applyAlignment="1">
      <alignment vertical="center" wrapText="1"/>
    </xf>
    <xf numFmtId="164" fontId="19" fillId="9" borderId="33" xfId="1" applyNumberFormat="1" applyFont="1" applyFill="1" applyBorder="1" applyAlignment="1">
      <alignment wrapText="1"/>
    </xf>
    <xf numFmtId="164" fontId="19" fillId="9" borderId="34" xfId="1" applyNumberFormat="1" applyFont="1" applyFill="1" applyBorder="1" applyAlignment="1">
      <alignment wrapText="1"/>
    </xf>
    <xf numFmtId="164" fontId="19" fillId="9" borderId="35" xfId="1" applyNumberFormat="1" applyFont="1" applyFill="1" applyBorder="1" applyAlignment="1">
      <alignment wrapText="1"/>
    </xf>
    <xf numFmtId="164" fontId="19" fillId="9" borderId="41" xfId="1" applyNumberFormat="1" applyFont="1" applyFill="1" applyBorder="1" applyAlignment="1">
      <alignment wrapText="1"/>
    </xf>
    <xf numFmtId="164" fontId="19" fillId="10" borderId="33" xfId="1" applyNumberFormat="1" applyFont="1" applyFill="1" applyBorder="1" applyAlignment="1">
      <alignment vertical="center" wrapText="1"/>
    </xf>
    <xf numFmtId="164" fontId="19" fillId="10" borderId="42" xfId="1" applyNumberFormat="1" applyFont="1" applyFill="1" applyBorder="1" applyAlignment="1">
      <alignment vertical="center" wrapText="1"/>
    </xf>
    <xf numFmtId="164" fontId="19" fillId="10" borderId="35" xfId="1" applyNumberFormat="1" applyFont="1" applyFill="1" applyBorder="1" applyAlignment="1">
      <alignment vertical="center" wrapText="1"/>
    </xf>
    <xf numFmtId="164" fontId="19" fillId="10" borderId="36" xfId="1" applyNumberFormat="1" applyFont="1" applyFill="1" applyBorder="1" applyAlignment="1">
      <alignment vertical="center" wrapText="1"/>
    </xf>
    <xf numFmtId="164" fontId="7" fillId="7" borderId="33" xfId="1" applyNumberFormat="1" applyFont="1" applyFill="1" applyBorder="1" applyAlignment="1" applyProtection="1">
      <alignment horizontal="center" vertical="center" wrapText="1"/>
      <protection locked="0"/>
    </xf>
    <xf numFmtId="164" fontId="7" fillId="7" borderId="33" xfId="1" applyNumberFormat="1" applyFont="1" applyFill="1" applyBorder="1" applyAlignment="1">
      <alignment vertical="center" wrapText="1"/>
    </xf>
    <xf numFmtId="164" fontId="7" fillId="7" borderId="42" xfId="1" applyNumberFormat="1" applyFont="1" applyFill="1" applyBorder="1" applyAlignment="1">
      <alignment vertical="center" wrapText="1"/>
    </xf>
    <xf numFmtId="164" fontId="7" fillId="7" borderId="35" xfId="1" applyNumberFormat="1" applyFont="1" applyFill="1" applyBorder="1" applyAlignment="1">
      <alignment vertical="center" wrapText="1"/>
    </xf>
    <xf numFmtId="164" fontId="7" fillId="7" borderId="36" xfId="1" applyNumberFormat="1" applyFont="1" applyFill="1" applyBorder="1" applyAlignment="1">
      <alignment vertical="center" wrapText="1"/>
    </xf>
    <xf numFmtId="164" fontId="7" fillId="8" borderId="37" xfId="1" applyNumberFormat="1" applyFont="1" applyFill="1" applyBorder="1" applyAlignment="1">
      <alignment vertical="center" wrapText="1"/>
    </xf>
    <xf numFmtId="164" fontId="7" fillId="8" borderId="42" xfId="1" applyNumberFormat="1" applyFont="1" applyFill="1" applyBorder="1" applyAlignment="1">
      <alignment vertical="center" wrapText="1"/>
    </xf>
    <xf numFmtId="164" fontId="7" fillId="8" borderId="35" xfId="1" applyNumberFormat="1" applyFont="1" applyFill="1" applyBorder="1" applyAlignment="1">
      <alignment vertical="center" wrapText="1"/>
    </xf>
    <xf numFmtId="164" fontId="7" fillId="8" borderId="41" xfId="1" applyNumberFormat="1" applyFont="1" applyFill="1" applyBorder="1" applyAlignment="1">
      <alignment vertical="center" wrapText="1"/>
    </xf>
    <xf numFmtId="164" fontId="7" fillId="9" borderId="33" xfId="1" applyNumberFormat="1" applyFont="1" applyFill="1" applyBorder="1" applyAlignment="1">
      <alignment wrapText="1"/>
    </xf>
    <xf numFmtId="164" fontId="7" fillId="9" borderId="34" xfId="1" applyNumberFormat="1" applyFont="1" applyFill="1" applyBorder="1" applyAlignment="1">
      <alignment wrapText="1"/>
    </xf>
    <xf numFmtId="164" fontId="7" fillId="9" borderId="35" xfId="1" applyNumberFormat="1" applyFont="1" applyFill="1" applyBorder="1" applyAlignment="1">
      <alignment wrapText="1"/>
    </xf>
    <xf numFmtId="164" fontId="7" fillId="9" borderId="41" xfId="1" applyNumberFormat="1" applyFont="1" applyFill="1" applyBorder="1" applyAlignment="1">
      <alignment wrapText="1"/>
    </xf>
    <xf numFmtId="164" fontId="7" fillId="10" borderId="33" xfId="1" applyNumberFormat="1" applyFont="1" applyFill="1" applyBorder="1" applyAlignment="1">
      <alignment vertical="center" wrapText="1"/>
    </xf>
    <xf numFmtId="164" fontId="7" fillId="10" borderId="42" xfId="1" applyNumberFormat="1" applyFont="1" applyFill="1" applyBorder="1" applyAlignment="1">
      <alignment vertical="center" wrapText="1"/>
    </xf>
    <xf numFmtId="164" fontId="7" fillId="10" borderId="35" xfId="1" applyNumberFormat="1" applyFont="1" applyFill="1" applyBorder="1" applyAlignment="1">
      <alignment vertical="center" wrapText="1"/>
    </xf>
    <xf numFmtId="164" fontId="7" fillId="10" borderId="36" xfId="1" applyNumberFormat="1" applyFont="1" applyFill="1" applyBorder="1" applyAlignment="1">
      <alignment vertical="center" wrapText="1"/>
    </xf>
    <xf numFmtId="164" fontId="7" fillId="2" borderId="34" xfId="1" applyNumberFormat="1" applyFont="1" applyFill="1" applyBorder="1" applyAlignment="1">
      <alignment vertical="center" wrapText="1"/>
    </xf>
    <xf numFmtId="164" fontId="7" fillId="2" borderId="35" xfId="1" applyNumberFormat="1" applyFont="1" applyFill="1" applyBorder="1" applyAlignment="1">
      <alignment vertical="center" wrapText="1"/>
    </xf>
    <xf numFmtId="164" fontId="7" fillId="2" borderId="36" xfId="1" applyNumberFormat="1" applyFont="1" applyFill="1" applyBorder="1" applyAlignment="1">
      <alignment vertical="center" wrapText="1"/>
    </xf>
    <xf numFmtId="164" fontId="13" fillId="0" borderId="0" xfId="1" applyNumberFormat="1" applyFont="1" applyAlignment="1" applyProtection="1">
      <alignment wrapText="1"/>
      <protection locked="0"/>
    </xf>
    <xf numFmtId="164" fontId="20" fillId="0" borderId="34" xfId="1" applyNumberFormat="1" applyFont="1" applyBorder="1" applyAlignment="1" applyProtection="1">
      <alignment vertical="center" wrapText="1"/>
      <protection locked="0"/>
    </xf>
    <xf numFmtId="164" fontId="20" fillId="0" borderId="35" xfId="1" applyNumberFormat="1" applyFont="1" applyBorder="1" applyAlignment="1" applyProtection="1">
      <alignment vertical="center" wrapText="1"/>
      <protection locked="0"/>
    </xf>
    <xf numFmtId="164" fontId="20" fillId="0" borderId="36" xfId="1" applyNumberFormat="1" applyFont="1" applyBorder="1" applyAlignment="1" applyProtection="1">
      <alignment vertical="center" wrapText="1"/>
      <protection locked="0"/>
    </xf>
    <xf numFmtId="164" fontId="25" fillId="0" borderId="0" xfId="1" applyNumberFormat="1" applyFont="1" applyAlignment="1" applyProtection="1">
      <alignment wrapText="1"/>
      <protection locked="0"/>
    </xf>
    <xf numFmtId="164" fontId="2" fillId="0" borderId="34" xfId="1" applyNumberFormat="1" applyFont="1" applyBorder="1" applyAlignment="1" applyProtection="1">
      <alignment vertical="center" wrapText="1"/>
      <protection locked="0"/>
    </xf>
    <xf numFmtId="164" fontId="2" fillId="0" borderId="35" xfId="1" applyNumberFormat="1" applyFont="1" applyBorder="1" applyAlignment="1" applyProtection="1">
      <alignment vertical="center" wrapText="1"/>
      <protection locked="0"/>
    </xf>
    <xf numFmtId="164" fontId="2" fillId="0" borderId="36" xfId="1" applyNumberFormat="1" applyFont="1" applyBorder="1" applyAlignment="1" applyProtection="1">
      <alignment vertical="center" wrapText="1"/>
      <protection locked="0"/>
    </xf>
    <xf numFmtId="164" fontId="13" fillId="0" borderId="0" xfId="1" applyNumberFormat="1" applyFont="1" applyAlignment="1" applyProtection="1">
      <alignment vertical="center" wrapText="1"/>
      <protection locked="0"/>
    </xf>
    <xf numFmtId="164" fontId="22" fillId="0" borderId="43" xfId="1" applyNumberFormat="1" applyFont="1" applyBorder="1" applyAlignment="1" applyProtection="1">
      <alignment horizontal="center" vertical="center" wrapText="1"/>
      <protection locked="0"/>
    </xf>
    <xf numFmtId="164" fontId="22" fillId="0" borderId="43" xfId="1" applyNumberFormat="1" applyFont="1" applyBorder="1" applyAlignment="1">
      <alignment vertical="center" wrapText="1"/>
    </xf>
    <xf numFmtId="164" fontId="22" fillId="0" borderId="15" xfId="1" applyNumberFormat="1" applyFont="1" applyBorder="1" applyAlignment="1">
      <alignment vertical="center" wrapText="1"/>
    </xf>
    <xf numFmtId="164" fontId="22" fillId="0" borderId="16" xfId="1" applyNumberFormat="1" applyFont="1" applyBorder="1" applyAlignment="1">
      <alignment vertical="center" wrapText="1"/>
    </xf>
    <xf numFmtId="164" fontId="22" fillId="0" borderId="17" xfId="1" applyNumberFormat="1" applyFont="1" applyBorder="1" applyAlignment="1">
      <alignment vertical="center" wrapText="1"/>
    </xf>
    <xf numFmtId="164" fontId="22" fillId="0" borderId="44" xfId="1" applyNumberFormat="1" applyFont="1" applyBorder="1" applyAlignment="1">
      <alignment vertical="center" wrapText="1"/>
    </xf>
    <xf numFmtId="164" fontId="22" fillId="0" borderId="18" xfId="1" applyNumberFormat="1" applyFont="1" applyBorder="1" applyAlignment="1">
      <alignment vertical="center" wrapText="1"/>
    </xf>
    <xf numFmtId="164" fontId="22" fillId="0" borderId="43" xfId="1" applyNumberFormat="1" applyFont="1" applyBorder="1" applyAlignment="1">
      <alignment wrapText="1"/>
    </xf>
    <xf numFmtId="164" fontId="20" fillId="0" borderId="19" xfId="1" applyNumberFormat="1" applyFont="1" applyBorder="1" applyAlignment="1" applyProtection="1">
      <alignment wrapText="1"/>
      <protection locked="0"/>
    </xf>
    <xf numFmtId="164" fontId="20" fillId="0" borderId="16" xfId="1" applyNumberFormat="1" applyFont="1" applyBorder="1" applyAlignment="1" applyProtection="1">
      <alignment wrapText="1"/>
      <protection locked="0"/>
    </xf>
    <xf numFmtId="164" fontId="20" fillId="0" borderId="17" xfId="1" applyNumberFormat="1" applyFont="1" applyBorder="1" applyAlignment="1" applyProtection="1">
      <alignment wrapText="1"/>
      <protection locked="0"/>
    </xf>
    <xf numFmtId="164" fontId="25" fillId="0" borderId="0" xfId="1" applyNumberFormat="1" applyFont="1" applyAlignment="1" applyProtection="1">
      <alignment vertical="center" wrapText="1"/>
      <protection locked="0"/>
    </xf>
    <xf numFmtId="164" fontId="15" fillId="0" borderId="43" xfId="1" applyNumberFormat="1" applyFont="1" applyBorder="1" applyAlignment="1" applyProtection="1">
      <alignment horizontal="center" vertical="center" wrapText="1"/>
      <protection locked="0"/>
    </xf>
    <xf numFmtId="164" fontId="15" fillId="0" borderId="43" xfId="1" applyNumberFormat="1" applyFont="1" applyBorder="1" applyAlignment="1">
      <alignment vertical="center" wrapText="1"/>
    </xf>
    <xf numFmtId="164" fontId="15" fillId="0" borderId="15" xfId="1" applyNumberFormat="1" applyFont="1" applyBorder="1" applyAlignment="1">
      <alignment vertical="center" wrapText="1"/>
    </xf>
    <xf numFmtId="164" fontId="15" fillId="0" borderId="16" xfId="1" applyNumberFormat="1" applyFont="1" applyBorder="1" applyAlignment="1">
      <alignment vertical="center" wrapText="1"/>
    </xf>
    <xf numFmtId="164" fontId="15" fillId="0" borderId="17" xfId="1" applyNumberFormat="1" applyFont="1" applyBorder="1" applyAlignment="1">
      <alignment vertical="center" wrapText="1"/>
    </xf>
    <xf numFmtId="164" fontId="15" fillId="0" borderId="44" xfId="1" applyNumberFormat="1" applyFont="1" applyBorder="1" applyAlignment="1">
      <alignment vertical="center" wrapText="1"/>
    </xf>
    <xf numFmtId="164" fontId="15" fillId="0" borderId="18" xfId="1" applyNumberFormat="1" applyFont="1" applyBorder="1" applyAlignment="1">
      <alignment vertical="center" wrapText="1"/>
    </xf>
    <xf numFmtId="164" fontId="15" fillId="0" borderId="43" xfId="1" applyNumberFormat="1" applyFont="1" applyBorder="1" applyAlignment="1">
      <alignment wrapText="1"/>
    </xf>
    <xf numFmtId="164" fontId="2" fillId="0" borderId="19" xfId="1" applyNumberFormat="1" applyFont="1" applyBorder="1" applyAlignment="1" applyProtection="1">
      <alignment wrapText="1"/>
      <protection locked="0"/>
    </xf>
    <xf numFmtId="164" fontId="2" fillId="0" borderId="16" xfId="1" applyNumberFormat="1" applyFont="1" applyBorder="1" applyAlignment="1" applyProtection="1">
      <alignment wrapText="1"/>
      <protection locked="0"/>
    </xf>
    <xf numFmtId="164" fontId="2" fillId="0" borderId="17" xfId="1" applyNumberFormat="1" applyFont="1" applyBorder="1" applyAlignment="1" applyProtection="1">
      <alignment wrapText="1"/>
      <protection locked="0"/>
    </xf>
    <xf numFmtId="164" fontId="15" fillId="0" borderId="19" xfId="1" applyNumberFormat="1" applyFont="1" applyBorder="1" applyAlignment="1">
      <alignment vertical="center" wrapText="1"/>
    </xf>
    <xf numFmtId="164" fontId="15" fillId="0" borderId="48" xfId="1" quotePrefix="1" applyNumberFormat="1" applyFont="1" applyBorder="1" applyAlignment="1" applyProtection="1">
      <alignment horizontal="center" vertical="center" wrapText="1"/>
      <protection locked="0"/>
    </xf>
    <xf numFmtId="164" fontId="15" fillId="0" borderId="48" xfId="1" applyNumberFormat="1" applyFont="1" applyBorder="1" applyAlignment="1">
      <alignment vertical="center" wrapText="1"/>
    </xf>
    <xf numFmtId="164" fontId="15" fillId="0" borderId="49" xfId="1" applyNumberFormat="1" applyFont="1" applyBorder="1" applyAlignment="1">
      <alignment vertical="center" wrapText="1"/>
    </xf>
    <xf numFmtId="164" fontId="15" fillId="0" borderId="50" xfId="1" applyNumberFormat="1" applyFont="1" applyBorder="1" applyAlignment="1">
      <alignment vertical="center" wrapText="1"/>
    </xf>
    <xf numFmtId="164" fontId="15" fillId="0" borderId="51" xfId="1" applyNumberFormat="1" applyFont="1" applyBorder="1" applyAlignment="1">
      <alignment vertical="center" wrapText="1"/>
    </xf>
    <xf numFmtId="164" fontId="15" fillId="0" borderId="52" xfId="1" applyNumberFormat="1" applyFont="1" applyBorder="1" applyAlignment="1">
      <alignment vertical="center" wrapText="1"/>
    </xf>
    <xf numFmtId="164" fontId="15" fillId="0" borderId="53" xfId="1" applyNumberFormat="1" applyFont="1" applyBorder="1" applyAlignment="1">
      <alignment vertical="center" wrapText="1"/>
    </xf>
    <xf numFmtId="164" fontId="15" fillId="0" borderId="48" xfId="1" applyNumberFormat="1" applyFont="1" applyBorder="1" applyAlignment="1">
      <alignment wrapText="1"/>
    </xf>
    <xf numFmtId="164" fontId="2" fillId="0" borderId="54" xfId="1" applyNumberFormat="1" applyFont="1" applyBorder="1" applyAlignment="1" applyProtection="1">
      <alignment wrapText="1"/>
      <protection locked="0"/>
    </xf>
    <xf numFmtId="164" fontId="2" fillId="0" borderId="50" xfId="1" applyNumberFormat="1" applyFont="1" applyBorder="1" applyAlignment="1" applyProtection="1">
      <alignment wrapText="1"/>
      <protection locked="0"/>
    </xf>
    <xf numFmtId="164" fontId="2" fillId="0" borderId="51" xfId="1" applyNumberFormat="1" applyFont="1" applyBorder="1" applyAlignment="1" applyProtection="1">
      <alignment wrapText="1"/>
      <protection locked="0"/>
    </xf>
    <xf numFmtId="164" fontId="19" fillId="2" borderId="30" xfId="1" applyNumberFormat="1" applyFont="1" applyFill="1" applyBorder="1" applyAlignment="1">
      <alignment vertical="center" wrapText="1"/>
    </xf>
    <xf numFmtId="164" fontId="19" fillId="2" borderId="31" xfId="1" applyNumberFormat="1" applyFont="1" applyFill="1" applyBorder="1" applyAlignment="1">
      <alignment vertical="center" wrapText="1"/>
    </xf>
    <xf numFmtId="164" fontId="19" fillId="2" borderId="28" xfId="1" applyNumberFormat="1" applyFont="1" applyFill="1" applyBorder="1" applyAlignment="1">
      <alignment vertical="center" wrapText="1"/>
    </xf>
    <xf numFmtId="164" fontId="19" fillId="2" borderId="32" xfId="1" applyNumberFormat="1" applyFont="1" applyFill="1" applyBorder="1" applyAlignment="1">
      <alignment vertical="center" wrapText="1"/>
    </xf>
    <xf numFmtId="164" fontId="19" fillId="3" borderId="10" xfId="1" applyNumberFormat="1" applyFont="1" applyFill="1" applyBorder="1" applyAlignment="1">
      <alignment vertical="center" wrapText="1"/>
    </xf>
    <xf numFmtId="164" fontId="19" fillId="3" borderId="31" xfId="1" applyNumberFormat="1" applyFont="1" applyFill="1" applyBorder="1" applyAlignment="1">
      <alignment vertical="center" wrapText="1"/>
    </xf>
    <xf numFmtId="164" fontId="19" fillId="3" borderId="28" xfId="1" applyNumberFormat="1" applyFont="1" applyFill="1" applyBorder="1" applyAlignment="1">
      <alignment vertical="center" wrapText="1"/>
    </xf>
    <xf numFmtId="164" fontId="19" fillId="3" borderId="29" xfId="1" applyNumberFormat="1" applyFont="1" applyFill="1" applyBorder="1" applyAlignment="1">
      <alignment vertical="center" wrapText="1"/>
    </xf>
    <xf numFmtId="164" fontId="19" fillId="4" borderId="30" xfId="1" applyNumberFormat="1" applyFont="1" applyFill="1" applyBorder="1" applyAlignment="1">
      <alignment wrapText="1"/>
    </xf>
    <xf numFmtId="164" fontId="25" fillId="4" borderId="27" xfId="1" applyNumberFormat="1" applyFont="1" applyFill="1" applyBorder="1" applyAlignment="1" applyProtection="1">
      <alignment wrapText="1"/>
      <protection locked="0"/>
    </xf>
    <xf numFmtId="164" fontId="25" fillId="4" borderId="28" xfId="1" applyNumberFormat="1" applyFont="1" applyFill="1" applyBorder="1" applyAlignment="1" applyProtection="1">
      <alignment wrapText="1"/>
      <protection locked="0"/>
    </xf>
    <xf numFmtId="164" fontId="25" fillId="4" borderId="32" xfId="1" applyNumberFormat="1" applyFont="1" applyFill="1" applyBorder="1" applyAlignment="1" applyProtection="1">
      <alignment wrapText="1"/>
      <protection locked="0"/>
    </xf>
    <xf numFmtId="164" fontId="19" fillId="5" borderId="10" xfId="1" applyNumberFormat="1" applyFont="1" applyFill="1" applyBorder="1" applyAlignment="1">
      <alignment vertical="center" wrapText="1"/>
    </xf>
    <xf numFmtId="164" fontId="19" fillId="5" borderId="31" xfId="1" applyNumberFormat="1" applyFont="1" applyFill="1" applyBorder="1" applyAlignment="1">
      <alignment vertical="center" wrapText="1"/>
    </xf>
    <xf numFmtId="164" fontId="19" fillId="5" borderId="28" xfId="1" applyNumberFormat="1" applyFont="1" applyFill="1" applyBorder="1" applyAlignment="1">
      <alignment vertical="center" wrapText="1"/>
    </xf>
    <xf numFmtId="164" fontId="19" fillId="5" borderId="32" xfId="1" applyNumberFormat="1" applyFont="1" applyFill="1" applyBorder="1" applyAlignment="1">
      <alignment vertical="center" wrapText="1"/>
    </xf>
    <xf numFmtId="164" fontId="8" fillId="7" borderId="33" xfId="1" applyNumberFormat="1" applyFont="1" applyFill="1" applyBorder="1" applyAlignment="1" applyProtection="1">
      <alignment horizontal="center" vertical="center" wrapText="1"/>
      <protection locked="0"/>
    </xf>
    <xf numFmtId="164" fontId="8" fillId="7" borderId="33" xfId="1" applyNumberFormat="1" applyFont="1" applyFill="1" applyBorder="1" applyAlignment="1">
      <alignment vertical="center" wrapText="1"/>
    </xf>
    <xf numFmtId="164" fontId="8" fillId="7" borderId="42" xfId="1" applyNumberFormat="1" applyFont="1" applyFill="1" applyBorder="1" applyAlignment="1">
      <alignment vertical="center" wrapText="1"/>
    </xf>
    <xf numFmtId="164" fontId="8" fillId="7" borderId="35" xfId="1" applyNumberFormat="1" applyFont="1" applyFill="1" applyBorder="1" applyAlignment="1">
      <alignment vertical="center" wrapText="1"/>
    </xf>
    <xf numFmtId="164" fontId="8" fillId="7" borderId="36" xfId="1" applyNumberFormat="1" applyFont="1" applyFill="1" applyBorder="1" applyAlignment="1">
      <alignment vertical="center" wrapText="1"/>
    </xf>
    <xf numFmtId="164" fontId="8" fillId="8" borderId="37" xfId="1" applyNumberFormat="1" applyFont="1" applyFill="1" applyBorder="1" applyAlignment="1">
      <alignment vertical="center" wrapText="1"/>
    </xf>
    <xf numFmtId="164" fontId="8" fillId="8" borderId="42" xfId="1" applyNumberFormat="1" applyFont="1" applyFill="1" applyBorder="1" applyAlignment="1">
      <alignment vertical="center" wrapText="1"/>
    </xf>
    <xf numFmtId="164" fontId="8" fillId="8" borderId="35" xfId="1" applyNumberFormat="1" applyFont="1" applyFill="1" applyBorder="1" applyAlignment="1">
      <alignment vertical="center" wrapText="1"/>
    </xf>
    <xf numFmtId="164" fontId="8" fillId="8" borderId="41" xfId="1" applyNumberFormat="1" applyFont="1" applyFill="1" applyBorder="1" applyAlignment="1">
      <alignment vertical="center" wrapText="1"/>
    </xf>
    <xf numFmtId="164" fontId="8" fillId="9" borderId="33" xfId="1" applyNumberFormat="1" applyFont="1" applyFill="1" applyBorder="1" applyAlignment="1">
      <alignment wrapText="1"/>
    </xf>
    <xf numFmtId="164" fontId="8" fillId="9" borderId="34" xfId="1" applyNumberFormat="1" applyFont="1" applyFill="1" applyBorder="1" applyAlignment="1">
      <alignment wrapText="1"/>
    </xf>
    <xf numFmtId="164" fontId="8" fillId="9" borderId="35" xfId="1" applyNumberFormat="1" applyFont="1" applyFill="1" applyBorder="1" applyAlignment="1">
      <alignment wrapText="1"/>
    </xf>
    <xf numFmtId="164" fontId="8" fillId="9" borderId="36" xfId="1" applyNumberFormat="1" applyFont="1" applyFill="1" applyBorder="1" applyAlignment="1">
      <alignment wrapText="1"/>
    </xf>
    <xf numFmtId="164" fontId="8" fillId="10" borderId="37" xfId="1" applyNumberFormat="1" applyFont="1" applyFill="1" applyBorder="1" applyAlignment="1">
      <alignment vertical="center" wrapText="1"/>
    </xf>
    <xf numFmtId="164" fontId="8" fillId="10" borderId="42" xfId="1" applyNumberFormat="1" applyFont="1" applyFill="1" applyBorder="1" applyAlignment="1">
      <alignment vertical="center" wrapText="1"/>
    </xf>
    <xf numFmtId="164" fontId="8" fillId="10" borderId="35" xfId="1" applyNumberFormat="1" applyFont="1" applyFill="1" applyBorder="1" applyAlignment="1">
      <alignment vertical="center" wrapText="1"/>
    </xf>
    <xf numFmtId="164" fontId="8" fillId="10" borderId="36" xfId="1" applyNumberFormat="1" applyFont="1" applyFill="1" applyBorder="1" applyAlignment="1">
      <alignment vertical="center" wrapText="1"/>
    </xf>
    <xf numFmtId="164" fontId="19" fillId="9" borderId="36" xfId="1" applyNumberFormat="1" applyFont="1" applyFill="1" applyBorder="1" applyAlignment="1">
      <alignment wrapText="1"/>
    </xf>
    <xf numFmtId="164" fontId="19" fillId="10" borderId="37" xfId="1" applyNumberFormat="1" applyFont="1" applyFill="1" applyBorder="1" applyAlignment="1">
      <alignment vertical="center" wrapText="1"/>
    </xf>
    <xf numFmtId="164" fontId="20" fillId="0" borderId="36" xfId="1" applyNumberFormat="1" applyFont="1" applyBorder="1" applyAlignment="1" applyProtection="1">
      <alignment wrapText="1"/>
      <protection locked="0"/>
    </xf>
    <xf numFmtId="164" fontId="2" fillId="0" borderId="36" xfId="1" applyNumberFormat="1" applyFont="1" applyBorder="1" applyAlignment="1" applyProtection="1">
      <alignment wrapText="1"/>
      <protection locked="0"/>
    </xf>
    <xf numFmtId="164" fontId="7" fillId="9" borderId="36" xfId="1" applyNumberFormat="1" applyFont="1" applyFill="1" applyBorder="1" applyAlignment="1">
      <alignment wrapText="1"/>
    </xf>
    <xf numFmtId="164" fontId="7" fillId="10" borderId="37" xfId="1" applyNumberFormat="1" applyFont="1" applyFill="1" applyBorder="1" applyAlignment="1">
      <alignment vertical="center" wrapText="1"/>
    </xf>
    <xf numFmtId="164" fontId="2" fillId="0" borderId="0" xfId="1" applyNumberFormat="1" applyFont="1" applyAlignment="1" applyProtection="1">
      <alignment vertical="center" wrapText="1"/>
      <protection locked="0"/>
    </xf>
    <xf numFmtId="164" fontId="20" fillId="0" borderId="0" xfId="1" applyNumberFormat="1" applyFont="1" applyAlignment="1" applyProtection="1">
      <alignment vertical="center" wrapText="1"/>
      <protection locked="0"/>
    </xf>
    <xf numFmtId="164" fontId="26" fillId="2" borderId="30" xfId="1" applyNumberFormat="1" applyFont="1" applyFill="1" applyBorder="1" applyAlignment="1" applyProtection="1">
      <alignment horizontal="center" vertical="center" wrapText="1"/>
      <protection locked="0"/>
    </xf>
    <xf numFmtId="164" fontId="26" fillId="2" borderId="30" xfId="1" applyNumberFormat="1" applyFont="1" applyFill="1" applyBorder="1" applyAlignment="1">
      <alignment vertical="center" wrapText="1"/>
    </xf>
    <xf numFmtId="164" fontId="26" fillId="2" borderId="31" xfId="1" applyNumberFormat="1" applyFont="1" applyFill="1" applyBorder="1" applyAlignment="1">
      <alignment vertical="center" wrapText="1"/>
    </xf>
    <xf numFmtId="164" fontId="26" fillId="2" borderId="28" xfId="1" applyNumberFormat="1" applyFont="1" applyFill="1" applyBorder="1" applyAlignment="1">
      <alignment vertical="center" wrapText="1"/>
    </xf>
    <xf numFmtId="164" fontId="26" fillId="2" borderId="32" xfId="1" applyNumberFormat="1" applyFont="1" applyFill="1" applyBorder="1" applyAlignment="1">
      <alignment vertical="center" wrapText="1"/>
    </xf>
    <xf numFmtId="164" fontId="26" fillId="3" borderId="10" xfId="1" applyNumberFormat="1" applyFont="1" applyFill="1" applyBorder="1" applyAlignment="1">
      <alignment vertical="center" wrapText="1"/>
    </xf>
    <xf numFmtId="164" fontId="26" fillId="3" borderId="31" xfId="1" applyNumberFormat="1" applyFont="1" applyFill="1" applyBorder="1" applyAlignment="1">
      <alignment vertical="center" wrapText="1"/>
    </xf>
    <xf numFmtId="164" fontId="26" fillId="3" borderId="28" xfId="1" applyNumberFormat="1" applyFont="1" applyFill="1" applyBorder="1" applyAlignment="1">
      <alignment vertical="center" wrapText="1"/>
    </xf>
    <xf numFmtId="164" fontId="26" fillId="3" borderId="29" xfId="1" applyNumberFormat="1" applyFont="1" applyFill="1" applyBorder="1" applyAlignment="1">
      <alignment vertical="center" wrapText="1"/>
    </xf>
    <xf numFmtId="164" fontId="26" fillId="4" borderId="30" xfId="1" applyNumberFormat="1" applyFont="1" applyFill="1" applyBorder="1" applyAlignment="1">
      <alignment wrapText="1"/>
    </xf>
    <xf numFmtId="164" fontId="27" fillId="4" borderId="27" xfId="1" applyNumberFormat="1" applyFont="1" applyFill="1" applyBorder="1" applyAlignment="1" applyProtection="1">
      <alignment wrapText="1"/>
      <protection locked="0"/>
    </xf>
    <xf numFmtId="164" fontId="27" fillId="4" borderId="28" xfId="1" applyNumberFormat="1" applyFont="1" applyFill="1" applyBorder="1" applyAlignment="1" applyProtection="1">
      <alignment wrapText="1"/>
      <protection locked="0"/>
    </xf>
    <xf numFmtId="164" fontId="27" fillId="4" borderId="32" xfId="1" applyNumberFormat="1" applyFont="1" applyFill="1" applyBorder="1" applyAlignment="1" applyProtection="1">
      <alignment wrapText="1"/>
      <protection locked="0"/>
    </xf>
    <xf numFmtId="164" fontId="26" fillId="5" borderId="10" xfId="1" applyNumberFormat="1" applyFont="1" applyFill="1" applyBorder="1" applyAlignment="1">
      <alignment vertical="center" wrapText="1"/>
    </xf>
    <xf numFmtId="164" fontId="26" fillId="5" borderId="31" xfId="1" applyNumberFormat="1" applyFont="1" applyFill="1" applyBorder="1" applyAlignment="1">
      <alignment vertical="center" wrapText="1"/>
    </xf>
    <xf numFmtId="164" fontId="26" fillId="5" borderId="28" xfId="1" applyNumberFormat="1" applyFont="1" applyFill="1" applyBorder="1" applyAlignment="1">
      <alignment vertical="center" wrapText="1"/>
    </xf>
    <xf numFmtId="164" fontId="26" fillId="5" borderId="32" xfId="1" applyNumberFormat="1" applyFont="1" applyFill="1" applyBorder="1" applyAlignment="1">
      <alignment vertical="center" wrapText="1"/>
    </xf>
    <xf numFmtId="164" fontId="28" fillId="0" borderId="0" xfId="1" applyNumberFormat="1" applyFont="1" applyAlignment="1" applyProtection="1">
      <alignment wrapText="1"/>
      <protection locked="0"/>
    </xf>
    <xf numFmtId="164" fontId="7" fillId="2" borderId="43" xfId="1" applyNumberFormat="1" applyFont="1" applyFill="1" applyBorder="1" applyAlignment="1">
      <alignment vertical="center" wrapText="1"/>
    </xf>
    <xf numFmtId="164" fontId="7" fillId="2" borderId="15" xfId="1" applyNumberFormat="1" applyFont="1" applyFill="1" applyBorder="1" applyAlignment="1">
      <alignment vertical="center" wrapText="1"/>
    </xf>
    <xf numFmtId="164" fontId="7" fillId="2" borderId="16" xfId="1" applyNumberFormat="1" applyFont="1" applyFill="1" applyBorder="1" applyAlignment="1">
      <alignment vertical="center" wrapText="1"/>
    </xf>
    <xf numFmtId="164" fontId="7" fillId="2" borderId="17" xfId="1" applyNumberFormat="1" applyFont="1" applyFill="1" applyBorder="1" applyAlignment="1">
      <alignment vertical="center" wrapText="1"/>
    </xf>
    <xf numFmtId="164" fontId="29" fillId="12" borderId="44" xfId="1" applyNumberFormat="1" applyFont="1" applyFill="1" applyBorder="1" applyAlignment="1">
      <alignment vertical="center" wrapText="1"/>
    </xf>
    <xf numFmtId="164" fontId="29" fillId="12" borderId="19" xfId="1" applyNumberFormat="1" applyFont="1" applyFill="1" applyBorder="1" applyAlignment="1">
      <alignment vertical="center" wrapText="1"/>
    </xf>
    <xf numFmtId="164" fontId="29" fillId="12" borderId="16" xfId="1" applyNumberFormat="1" applyFont="1" applyFill="1" applyBorder="1" applyAlignment="1">
      <alignment vertical="center" wrapText="1"/>
    </xf>
    <xf numFmtId="164" fontId="29" fillId="12" borderId="18" xfId="1" applyNumberFormat="1" applyFont="1" applyFill="1" applyBorder="1" applyAlignment="1">
      <alignment vertical="center" wrapText="1"/>
    </xf>
    <xf numFmtId="164" fontId="29" fillId="13" borderId="43" xfId="1" applyNumberFormat="1" applyFont="1" applyFill="1" applyBorder="1" applyAlignment="1">
      <alignment vertical="center" wrapText="1"/>
    </xf>
    <xf numFmtId="164" fontId="29" fillId="13" borderId="19" xfId="1" applyNumberFormat="1" applyFont="1" applyFill="1" applyBorder="1" applyAlignment="1">
      <alignment vertical="center" wrapText="1"/>
    </xf>
    <xf numFmtId="164" fontId="29" fillId="13" borderId="16" xfId="1" applyNumberFormat="1" applyFont="1" applyFill="1" applyBorder="1" applyAlignment="1">
      <alignment vertical="center" wrapText="1"/>
    </xf>
    <xf numFmtId="164" fontId="29" fillId="13" borderId="17" xfId="1" applyNumberFormat="1" applyFont="1" applyFill="1" applyBorder="1" applyAlignment="1">
      <alignment vertical="center" wrapText="1"/>
    </xf>
    <xf numFmtId="164" fontId="29" fillId="14" borderId="44" xfId="1" applyNumberFormat="1" applyFont="1" applyFill="1" applyBorder="1" applyAlignment="1">
      <alignment vertical="center" wrapText="1"/>
    </xf>
    <xf numFmtId="164" fontId="29" fillId="14" borderId="19" xfId="1" applyNumberFormat="1" applyFont="1" applyFill="1" applyBorder="1" applyAlignment="1">
      <alignment vertical="center" wrapText="1"/>
    </xf>
    <xf numFmtId="164" fontId="29" fillId="14" borderId="16" xfId="1" applyNumberFormat="1" applyFont="1" applyFill="1" applyBorder="1" applyAlignment="1">
      <alignment vertical="center" wrapText="1"/>
    </xf>
    <xf numFmtId="164" fontId="29" fillId="14" borderId="17" xfId="1" applyNumberFormat="1" applyFont="1" applyFill="1" applyBorder="1" applyAlignment="1">
      <alignment vertical="center" wrapText="1"/>
    </xf>
    <xf numFmtId="164" fontId="30" fillId="11" borderId="33" xfId="1" applyNumberFormat="1" applyFont="1" applyFill="1" applyBorder="1" applyAlignment="1" applyProtection="1">
      <alignment horizontal="center" vertical="center" wrapText="1"/>
      <protection locked="0"/>
    </xf>
    <xf numFmtId="164" fontId="30" fillId="0" borderId="33" xfId="1" applyNumberFormat="1" applyFont="1" applyBorder="1" applyAlignment="1">
      <alignment vertical="center" wrapText="1"/>
    </xf>
    <xf numFmtId="164" fontId="30" fillId="0" borderId="42" xfId="1" applyNumberFormat="1" applyFont="1" applyBorder="1" applyAlignment="1">
      <alignment vertical="center" wrapText="1"/>
    </xf>
    <xf numFmtId="164" fontId="30" fillId="0" borderId="35" xfId="1" applyNumberFormat="1" applyFont="1" applyBorder="1" applyAlignment="1">
      <alignment vertical="center" wrapText="1"/>
    </xf>
    <xf numFmtId="164" fontId="30" fillId="0" borderId="36" xfId="1" applyNumberFormat="1" applyFont="1" applyBorder="1" applyAlignment="1">
      <alignment vertical="center" wrapText="1"/>
    </xf>
    <xf numFmtId="164" fontId="31" fillId="0" borderId="37" xfId="1" applyNumberFormat="1" applyFont="1" applyBorder="1" applyAlignment="1">
      <alignment wrapText="1"/>
    </xf>
    <xf numFmtId="164" fontId="30" fillId="0" borderId="41" xfId="1" applyNumberFormat="1" applyFont="1" applyBorder="1" applyAlignment="1">
      <alignment vertical="center" wrapText="1"/>
    </xf>
    <xf numFmtId="164" fontId="31" fillId="0" borderId="33" xfId="1" applyNumberFormat="1" applyFont="1" applyBorder="1" applyAlignment="1">
      <alignment wrapText="1"/>
    </xf>
    <xf numFmtId="164" fontId="28" fillId="0" borderId="34" xfId="1" applyNumberFormat="1" applyFont="1" applyBorder="1" applyAlignment="1" applyProtection="1">
      <alignment wrapText="1"/>
      <protection locked="0"/>
    </xf>
    <xf numFmtId="164" fontId="28" fillId="0" borderId="35" xfId="1" applyNumberFormat="1" applyFont="1" applyBorder="1" applyAlignment="1" applyProtection="1">
      <alignment wrapText="1"/>
      <protection locked="0"/>
    </xf>
    <xf numFmtId="164" fontId="28" fillId="0" borderId="36" xfId="1" applyNumberFormat="1" applyFont="1" applyBorder="1" applyAlignment="1" applyProtection="1">
      <alignment wrapText="1"/>
      <protection locked="0"/>
    </xf>
    <xf numFmtId="164" fontId="30" fillId="0" borderId="34" xfId="1" applyNumberFormat="1" applyFont="1" applyBorder="1" applyAlignment="1">
      <alignment vertical="center" wrapText="1"/>
    </xf>
    <xf numFmtId="164" fontId="28" fillId="0" borderId="0" xfId="1" applyNumberFormat="1" applyFont="1" applyAlignment="1" applyProtection="1">
      <alignment vertical="center" wrapText="1"/>
      <protection locked="0"/>
    </xf>
    <xf numFmtId="164" fontId="32" fillId="0" borderId="37" xfId="1" applyNumberFormat="1" applyFont="1" applyBorder="1" applyAlignment="1">
      <alignment wrapText="1"/>
    </xf>
    <xf numFmtId="164" fontId="32" fillId="0" borderId="33" xfId="1" applyNumberFormat="1" applyFont="1" applyBorder="1" applyAlignment="1">
      <alignment wrapText="1"/>
    </xf>
    <xf numFmtId="4" fontId="30" fillId="0" borderId="33" xfId="1" applyNumberFormat="1" applyFont="1" applyBorder="1" applyAlignment="1" applyProtection="1">
      <alignment horizontal="center" vertical="center" wrapText="1"/>
      <protection locked="0"/>
    </xf>
    <xf numFmtId="164" fontId="28" fillId="0" borderId="42" xfId="1" applyNumberFormat="1" applyFont="1" applyBorder="1" applyAlignment="1" applyProtection="1">
      <alignment wrapText="1"/>
      <protection locked="0"/>
    </xf>
    <xf numFmtId="4" fontId="15" fillId="0" borderId="48" xfId="1" applyNumberFormat="1" applyFont="1" applyBorder="1" applyAlignment="1" applyProtection="1">
      <alignment horizontal="center" vertical="center" wrapText="1"/>
      <protection locked="0"/>
    </xf>
    <xf numFmtId="164" fontId="32" fillId="0" borderId="52" xfId="1" applyNumberFormat="1" applyFont="1" applyBorder="1" applyAlignment="1">
      <alignment vertical="center" wrapText="1"/>
    </xf>
    <xf numFmtId="164" fontId="32" fillId="0" borderId="48" xfId="1" applyNumberFormat="1" applyFont="1" applyBorder="1" applyAlignment="1">
      <alignment vertical="center" wrapText="1"/>
    </xf>
    <xf numFmtId="164" fontId="2" fillId="0" borderId="49" xfId="1" applyNumberFormat="1" applyFont="1" applyBorder="1" applyAlignment="1" applyProtection="1">
      <alignment vertical="center" wrapText="1"/>
      <protection locked="0"/>
    </xf>
    <xf numFmtId="164" fontId="2" fillId="0" borderId="50" xfId="1" applyNumberFormat="1" applyFont="1" applyBorder="1" applyAlignment="1" applyProtection="1">
      <alignment vertical="center" wrapText="1"/>
      <protection locked="0"/>
    </xf>
    <xf numFmtId="164" fontId="2" fillId="0" borderId="51" xfId="1" applyNumberFormat="1" applyFont="1" applyBorder="1" applyAlignment="1" applyProtection="1">
      <alignment vertical="center" wrapText="1"/>
      <protection locked="0"/>
    </xf>
    <xf numFmtId="164" fontId="26" fillId="2" borderId="33" xfId="1" applyNumberFormat="1" applyFont="1" applyFill="1" applyBorder="1" applyAlignment="1" applyProtection="1">
      <alignment horizontal="center" vertical="center" wrapText="1"/>
      <protection locked="0"/>
    </xf>
    <xf numFmtId="164" fontId="7" fillId="2" borderId="33" xfId="1" applyNumberFormat="1" applyFont="1" applyFill="1" applyBorder="1" applyAlignment="1">
      <alignment vertical="center" wrapText="1"/>
    </xf>
    <xf numFmtId="164" fontId="7" fillId="3" borderId="37" xfId="1" applyNumberFormat="1" applyFont="1" applyFill="1" applyBorder="1" applyAlignment="1">
      <alignment vertical="center" wrapText="1"/>
    </xf>
    <xf numFmtId="164" fontId="7" fillId="3" borderId="42" xfId="1" applyNumberFormat="1" applyFont="1" applyFill="1" applyBorder="1" applyAlignment="1">
      <alignment vertical="center" wrapText="1"/>
    </xf>
    <xf numFmtId="164" fontId="7" fillId="3" borderId="35" xfId="1" applyNumberFormat="1" applyFont="1" applyFill="1" applyBorder="1" applyAlignment="1">
      <alignment vertical="center" wrapText="1"/>
    </xf>
    <xf numFmtId="164" fontId="7" fillId="3" borderId="41" xfId="1" applyNumberFormat="1" applyFont="1" applyFill="1" applyBorder="1" applyAlignment="1">
      <alignment vertical="center" wrapText="1"/>
    </xf>
    <xf numFmtId="164" fontId="7" fillId="4" borderId="33" xfId="1" applyNumberFormat="1" applyFont="1" applyFill="1" applyBorder="1" applyAlignment="1">
      <alignment vertical="center" wrapText="1"/>
    </xf>
    <xf numFmtId="164" fontId="7" fillId="4" borderId="42" xfId="1" applyNumberFormat="1" applyFont="1" applyFill="1" applyBorder="1" applyAlignment="1">
      <alignment vertical="center" wrapText="1"/>
    </xf>
    <xf numFmtId="164" fontId="7" fillId="4" borderId="35" xfId="1" applyNumberFormat="1" applyFont="1" applyFill="1" applyBorder="1" applyAlignment="1">
      <alignment vertical="center" wrapText="1"/>
    </xf>
    <xf numFmtId="164" fontId="7" fillId="4" borderId="36" xfId="1" applyNumberFormat="1" applyFont="1" applyFill="1" applyBorder="1" applyAlignment="1">
      <alignment vertical="center" wrapText="1"/>
    </xf>
    <xf numFmtId="164" fontId="7" fillId="5" borderId="37" xfId="1" applyNumberFormat="1" applyFont="1" applyFill="1" applyBorder="1" applyAlignment="1">
      <alignment vertical="center" wrapText="1"/>
    </xf>
    <xf numFmtId="164" fontId="7" fillId="5" borderId="42" xfId="1" applyNumberFormat="1" applyFont="1" applyFill="1" applyBorder="1" applyAlignment="1">
      <alignment vertical="center" wrapText="1"/>
    </xf>
    <xf numFmtId="164" fontId="7" fillId="5" borderId="35" xfId="1" applyNumberFormat="1" applyFont="1" applyFill="1" applyBorder="1" applyAlignment="1">
      <alignment vertical="center" wrapText="1"/>
    </xf>
    <xf numFmtId="164" fontId="7" fillId="5" borderId="36" xfId="1" applyNumberFormat="1" applyFont="1" applyFill="1" applyBorder="1" applyAlignment="1">
      <alignment vertical="center" wrapText="1"/>
    </xf>
    <xf numFmtId="164" fontId="7" fillId="2" borderId="42" xfId="1" applyNumberFormat="1" applyFont="1" applyFill="1" applyBorder="1" applyAlignment="1">
      <alignment vertical="center" wrapText="1"/>
    </xf>
    <xf numFmtId="164" fontId="26" fillId="2" borderId="55" xfId="1" applyNumberFormat="1" applyFont="1" applyFill="1" applyBorder="1" applyAlignment="1">
      <alignment vertical="center" wrapText="1"/>
    </xf>
    <xf numFmtId="164" fontId="26" fillId="2" borderId="38" xfId="1" applyNumberFormat="1" applyFont="1" applyFill="1" applyBorder="1" applyAlignment="1">
      <alignment vertical="center" wrapText="1"/>
    </xf>
    <xf numFmtId="164" fontId="26" fillId="2" borderId="39" xfId="1" applyNumberFormat="1" applyFont="1" applyFill="1" applyBorder="1" applyAlignment="1">
      <alignment vertical="center" wrapText="1"/>
    </xf>
    <xf numFmtId="164" fontId="26" fillId="2" borderId="40" xfId="1" applyNumberFormat="1" applyFont="1" applyFill="1" applyBorder="1" applyAlignment="1">
      <alignment vertical="center" wrapText="1"/>
    </xf>
    <xf numFmtId="164" fontId="26" fillId="3" borderId="56" xfId="1" applyNumberFormat="1" applyFont="1" applyFill="1" applyBorder="1" applyAlignment="1">
      <alignment vertical="center" wrapText="1"/>
    </xf>
    <xf numFmtId="164" fontId="26" fillId="3" borderId="60" xfId="1" applyNumberFormat="1" applyFont="1" applyFill="1" applyBorder="1" applyAlignment="1">
      <alignment vertical="center" wrapText="1"/>
    </xf>
    <xf numFmtId="164" fontId="26" fillId="3" borderId="39" xfId="1" applyNumberFormat="1" applyFont="1" applyFill="1" applyBorder="1" applyAlignment="1">
      <alignment vertical="center" wrapText="1"/>
    </xf>
    <xf numFmtId="164" fontId="26" fillId="3" borderId="61" xfId="1" applyNumberFormat="1" applyFont="1" applyFill="1" applyBorder="1" applyAlignment="1">
      <alignment vertical="center" wrapText="1"/>
    </xf>
    <xf numFmtId="164" fontId="26" fillId="4" borderId="55" xfId="1" applyNumberFormat="1" applyFont="1" applyFill="1" applyBorder="1" applyAlignment="1">
      <alignment vertical="center" wrapText="1"/>
    </xf>
    <xf numFmtId="164" fontId="26" fillId="4" borderId="60" xfId="1" applyNumberFormat="1" applyFont="1" applyFill="1" applyBorder="1" applyAlignment="1">
      <alignment vertical="center" wrapText="1"/>
    </xf>
    <xf numFmtId="164" fontId="26" fillId="4" borderId="39" xfId="1" applyNumberFormat="1" applyFont="1" applyFill="1" applyBorder="1" applyAlignment="1">
      <alignment vertical="center" wrapText="1"/>
    </xf>
    <xf numFmtId="164" fontId="26" fillId="4" borderId="40" xfId="1" applyNumberFormat="1" applyFont="1" applyFill="1" applyBorder="1" applyAlignment="1">
      <alignment vertical="center" wrapText="1"/>
    </xf>
    <xf numFmtId="164" fontId="26" fillId="5" borderId="56" xfId="1" applyNumberFormat="1" applyFont="1" applyFill="1" applyBorder="1" applyAlignment="1">
      <alignment vertical="center" wrapText="1"/>
    </xf>
    <xf numFmtId="164" fontId="26" fillId="5" borderId="60" xfId="1" applyNumberFormat="1" applyFont="1" applyFill="1" applyBorder="1" applyAlignment="1">
      <alignment vertical="center" wrapText="1"/>
    </xf>
    <xf numFmtId="164" fontId="26" fillId="5" borderId="39" xfId="1" applyNumberFormat="1" applyFont="1" applyFill="1" applyBorder="1" applyAlignment="1">
      <alignment vertical="center" wrapText="1"/>
    </xf>
    <xf numFmtId="164" fontId="26" fillId="5" borderId="40" xfId="1" applyNumberFormat="1" applyFont="1" applyFill="1" applyBorder="1" applyAlignment="1">
      <alignment vertical="center" wrapText="1"/>
    </xf>
    <xf numFmtId="164" fontId="7" fillId="2" borderId="55" xfId="1" applyNumberFormat="1" applyFont="1" applyFill="1" applyBorder="1" applyAlignment="1">
      <alignment vertical="center" wrapText="1"/>
    </xf>
    <xf numFmtId="164" fontId="7" fillId="2" borderId="38" xfId="1" applyNumberFormat="1" applyFont="1" applyFill="1" applyBorder="1" applyAlignment="1">
      <alignment vertical="center" wrapText="1"/>
    </xf>
    <xf numFmtId="164" fontId="7" fillId="2" borderId="39" xfId="1" applyNumberFormat="1" applyFont="1" applyFill="1" applyBorder="1" applyAlignment="1">
      <alignment vertical="center" wrapText="1"/>
    </xf>
    <xf numFmtId="164" fontId="7" fillId="2" borderId="40" xfId="1" applyNumberFormat="1" applyFont="1" applyFill="1" applyBorder="1" applyAlignment="1">
      <alignment vertical="center" wrapText="1"/>
    </xf>
    <xf numFmtId="164" fontId="7" fillId="3" borderId="56" xfId="1" applyNumberFormat="1" applyFont="1" applyFill="1" applyBorder="1" applyAlignment="1">
      <alignment vertical="center" wrapText="1"/>
    </xf>
    <xf numFmtId="164" fontId="7" fillId="3" borderId="60" xfId="1" applyNumberFormat="1" applyFont="1" applyFill="1" applyBorder="1" applyAlignment="1">
      <alignment vertical="center" wrapText="1"/>
    </xf>
    <xf numFmtId="164" fontId="7" fillId="3" borderId="39" xfId="1" applyNumberFormat="1" applyFont="1" applyFill="1" applyBorder="1" applyAlignment="1">
      <alignment vertical="center" wrapText="1"/>
    </xf>
    <xf numFmtId="164" fontId="7" fillId="3" borderId="61" xfId="1" applyNumberFormat="1" applyFont="1" applyFill="1" applyBorder="1" applyAlignment="1">
      <alignment vertical="center" wrapText="1"/>
    </xf>
    <xf numFmtId="164" fontId="7" fillId="4" borderId="55" xfId="1" applyNumberFormat="1" applyFont="1" applyFill="1" applyBorder="1" applyAlignment="1">
      <alignment vertical="center" wrapText="1"/>
    </xf>
    <xf numFmtId="164" fontId="7" fillId="4" borderId="60" xfId="1" applyNumberFormat="1" applyFont="1" applyFill="1" applyBorder="1" applyAlignment="1">
      <alignment vertical="center" wrapText="1"/>
    </xf>
    <xf numFmtId="164" fontId="7" fillId="4" borderId="39" xfId="1" applyNumberFormat="1" applyFont="1" applyFill="1" applyBorder="1" applyAlignment="1">
      <alignment vertical="center" wrapText="1"/>
    </xf>
    <xf numFmtId="164" fontId="7" fillId="4" borderId="40" xfId="1" applyNumberFormat="1" applyFont="1" applyFill="1" applyBorder="1" applyAlignment="1">
      <alignment vertical="center" wrapText="1"/>
    </xf>
    <xf numFmtId="164" fontId="7" fillId="5" borderId="56" xfId="1" applyNumberFormat="1" applyFont="1" applyFill="1" applyBorder="1" applyAlignment="1">
      <alignment vertical="center" wrapText="1"/>
    </xf>
    <xf numFmtId="164" fontId="7" fillId="5" borderId="60" xfId="1" applyNumberFormat="1" applyFont="1" applyFill="1" applyBorder="1" applyAlignment="1">
      <alignment vertical="center" wrapText="1"/>
    </xf>
    <xf numFmtId="164" fontId="7" fillId="5" borderId="39" xfId="1" applyNumberFormat="1" applyFont="1" applyFill="1" applyBorder="1" applyAlignment="1">
      <alignment vertical="center" wrapText="1"/>
    </xf>
    <xf numFmtId="164" fontId="7" fillId="5" borderId="40" xfId="1" applyNumberFormat="1" applyFont="1" applyFill="1" applyBorder="1" applyAlignment="1">
      <alignment vertical="center" wrapText="1"/>
    </xf>
    <xf numFmtId="164" fontId="7" fillId="2" borderId="60" xfId="1" applyNumberFormat="1" applyFont="1" applyFill="1" applyBorder="1" applyAlignment="1">
      <alignment vertical="center" wrapText="1"/>
    </xf>
    <xf numFmtId="164" fontId="30" fillId="0" borderId="55" xfId="1" quotePrefix="1" applyNumberFormat="1" applyFont="1" applyBorder="1" applyAlignment="1" applyProtection="1">
      <alignment horizontal="center" vertical="center" wrapText="1"/>
      <protection locked="0"/>
    </xf>
    <xf numFmtId="164" fontId="30" fillId="0" borderId="55" xfId="1" applyNumberFormat="1" applyFont="1" applyBorder="1" applyAlignment="1">
      <alignment vertical="center" wrapText="1"/>
    </xf>
    <xf numFmtId="164" fontId="30" fillId="0" borderId="38" xfId="1" applyNumberFormat="1" applyFont="1" applyBorder="1" applyAlignment="1">
      <alignment vertical="center" wrapText="1"/>
    </xf>
    <xf numFmtId="164" fontId="30" fillId="0" borderId="39" xfId="1" applyNumberFormat="1" applyFont="1" applyBorder="1" applyAlignment="1">
      <alignment vertical="center" wrapText="1"/>
    </xf>
    <xf numFmtId="164" fontId="30" fillId="0" borderId="40" xfId="1" applyNumberFormat="1" applyFont="1" applyBorder="1" applyAlignment="1">
      <alignment vertical="center" wrapText="1"/>
    </xf>
    <xf numFmtId="164" fontId="30" fillId="0" borderId="37" xfId="1" applyNumberFormat="1" applyFont="1" applyBorder="1" applyAlignment="1">
      <alignment vertical="center" wrapText="1"/>
    </xf>
    <xf numFmtId="164" fontId="30" fillId="0" borderId="60" xfId="1" applyNumberFormat="1" applyFont="1" applyBorder="1" applyAlignment="1">
      <alignment vertical="center" wrapText="1"/>
    </xf>
    <xf numFmtId="164" fontId="15" fillId="0" borderId="55" xfId="1" quotePrefix="1" applyNumberFormat="1" applyFont="1" applyBorder="1" applyAlignment="1" applyProtection="1">
      <alignment horizontal="center" vertical="center" wrapText="1"/>
      <protection locked="0"/>
    </xf>
    <xf numFmtId="164" fontId="15" fillId="0" borderId="55" xfId="1" applyNumberFormat="1" applyFont="1" applyBorder="1" applyAlignment="1">
      <alignment vertical="center" wrapText="1"/>
    </xf>
    <xf numFmtId="164" fontId="15" fillId="0" borderId="38" xfId="1" applyNumberFormat="1" applyFont="1" applyBorder="1" applyAlignment="1">
      <alignment vertical="center" wrapText="1"/>
    </xf>
    <xf numFmtId="164" fontId="15" fillId="0" borderId="39" xfId="1" applyNumberFormat="1" applyFont="1" applyBorder="1" applyAlignment="1">
      <alignment vertical="center" wrapText="1"/>
    </xf>
    <xf numFmtId="164" fontId="15" fillId="0" borderId="40" xfId="1" applyNumberFormat="1" applyFont="1" applyBorder="1" applyAlignment="1">
      <alignment vertical="center" wrapText="1"/>
    </xf>
    <xf numFmtId="164" fontId="15" fillId="0" borderId="60" xfId="1" applyNumberFormat="1" applyFont="1" applyBorder="1" applyAlignment="1">
      <alignment vertical="center" wrapText="1"/>
    </xf>
    <xf numFmtId="164" fontId="30" fillId="11" borderId="57" xfId="1" quotePrefix="1" applyNumberFormat="1" applyFont="1" applyFill="1" applyBorder="1" applyAlignment="1" applyProtection="1">
      <alignment horizontal="center" vertical="center" wrapText="1"/>
      <protection locked="0"/>
    </xf>
    <xf numFmtId="164" fontId="30" fillId="0" borderId="43" xfId="1" applyNumberFormat="1" applyFont="1" applyBorder="1" applyAlignment="1">
      <alignment vertical="center" wrapText="1"/>
    </xf>
    <xf numFmtId="164" fontId="30" fillId="0" borderId="19" xfId="1" applyNumberFormat="1" applyFont="1" applyBorder="1" applyAlignment="1">
      <alignment vertical="center" wrapText="1"/>
    </xf>
    <xf numFmtId="164" fontId="30" fillId="0" borderId="16" xfId="1" applyNumberFormat="1" applyFont="1" applyBorder="1" applyAlignment="1">
      <alignment vertical="center" wrapText="1"/>
    </xf>
    <xf numFmtId="164" fontId="30" fillId="0" borderId="17" xfId="1" applyNumberFormat="1" applyFont="1" applyBorder="1" applyAlignment="1">
      <alignment vertical="center" wrapText="1"/>
    </xf>
    <xf numFmtId="164" fontId="30" fillId="0" borderId="44" xfId="1" applyNumberFormat="1" applyFont="1" applyBorder="1" applyAlignment="1">
      <alignment vertical="center" wrapText="1"/>
    </xf>
    <xf numFmtId="164" fontId="30" fillId="0" borderId="15" xfId="1" applyNumberFormat="1" applyFont="1" applyBorder="1" applyAlignment="1">
      <alignment vertical="center" wrapText="1"/>
    </xf>
    <xf numFmtId="164" fontId="30" fillId="0" borderId="18" xfId="1" applyNumberFormat="1" applyFont="1" applyBorder="1" applyAlignment="1">
      <alignment vertical="center" wrapText="1"/>
    </xf>
    <xf numFmtId="164" fontId="15" fillId="0" borderId="43" xfId="1" quotePrefix="1" applyNumberFormat="1" applyFont="1" applyBorder="1" applyAlignment="1" applyProtection="1">
      <alignment horizontal="center" vertical="center" wrapText="1"/>
      <protection locked="0"/>
    </xf>
    <xf numFmtId="164" fontId="26" fillId="2" borderId="33" xfId="1" applyNumberFormat="1" applyFont="1" applyFill="1" applyBorder="1" applyAlignment="1">
      <alignment vertical="center" wrapText="1"/>
    </xf>
    <xf numFmtId="164" fontId="26" fillId="2" borderId="34" xfId="1" applyNumberFormat="1" applyFont="1" applyFill="1" applyBorder="1" applyAlignment="1">
      <alignment vertical="center" wrapText="1"/>
    </xf>
    <xf numFmtId="164" fontId="26" fillId="2" borderId="35" xfId="1" applyNumberFormat="1" applyFont="1" applyFill="1" applyBorder="1" applyAlignment="1">
      <alignment vertical="center" wrapText="1"/>
    </xf>
    <xf numFmtId="164" fontId="26" fillId="2" borderId="36" xfId="1" applyNumberFormat="1" applyFont="1" applyFill="1" applyBorder="1" applyAlignment="1">
      <alignment vertical="center" wrapText="1"/>
    </xf>
    <xf numFmtId="164" fontId="26" fillId="3" borderId="37" xfId="1" applyNumberFormat="1" applyFont="1" applyFill="1" applyBorder="1" applyAlignment="1">
      <alignment vertical="center" wrapText="1"/>
    </xf>
    <xf numFmtId="164" fontId="26" fillId="3" borderId="42" xfId="1" applyNumberFormat="1" applyFont="1" applyFill="1" applyBorder="1" applyAlignment="1">
      <alignment vertical="center" wrapText="1"/>
    </xf>
    <xf numFmtId="164" fontId="26" fillId="3" borderId="35" xfId="1" applyNumberFormat="1" applyFont="1" applyFill="1" applyBorder="1" applyAlignment="1">
      <alignment vertical="center" wrapText="1"/>
    </xf>
    <xf numFmtId="164" fontId="26" fillId="3" borderId="41" xfId="1" applyNumberFormat="1" applyFont="1" applyFill="1" applyBorder="1" applyAlignment="1">
      <alignment vertical="center" wrapText="1"/>
    </xf>
    <xf numFmtId="164" fontId="26" fillId="4" borderId="33" xfId="1" applyNumberFormat="1" applyFont="1" applyFill="1" applyBorder="1" applyAlignment="1">
      <alignment vertical="center" wrapText="1"/>
    </xf>
    <xf numFmtId="164" fontId="26" fillId="4" borderId="42" xfId="1" applyNumberFormat="1" applyFont="1" applyFill="1" applyBorder="1" applyAlignment="1">
      <alignment vertical="center" wrapText="1"/>
    </xf>
    <xf numFmtId="164" fontId="26" fillId="4" borderId="35" xfId="1" applyNumberFormat="1" applyFont="1" applyFill="1" applyBorder="1" applyAlignment="1">
      <alignment vertical="center" wrapText="1"/>
    </xf>
    <xf numFmtId="164" fontId="26" fillId="4" borderId="36" xfId="1" applyNumberFormat="1" applyFont="1" applyFill="1" applyBorder="1" applyAlignment="1">
      <alignment vertical="center" wrapText="1"/>
    </xf>
    <xf numFmtId="164" fontId="26" fillId="5" borderId="37" xfId="1" applyNumberFormat="1" applyFont="1" applyFill="1" applyBorder="1" applyAlignment="1">
      <alignment vertical="center" wrapText="1"/>
    </xf>
    <xf numFmtId="164" fontId="26" fillId="5" borderId="42" xfId="1" applyNumberFormat="1" applyFont="1" applyFill="1" applyBorder="1" applyAlignment="1">
      <alignment vertical="center" wrapText="1"/>
    </xf>
    <xf numFmtId="164" fontId="26" fillId="5" borderId="35" xfId="1" applyNumberFormat="1" applyFont="1" applyFill="1" applyBorder="1" applyAlignment="1">
      <alignment vertical="center" wrapText="1"/>
    </xf>
    <xf numFmtId="164" fontId="26" fillId="5" borderId="36" xfId="1" applyNumberFormat="1" applyFont="1" applyFill="1" applyBorder="1" applyAlignment="1">
      <alignment vertical="center" wrapText="1"/>
    </xf>
    <xf numFmtId="164" fontId="30" fillId="0" borderId="33" xfId="1" applyNumberFormat="1" applyFont="1" applyBorder="1" applyAlignment="1" applyProtection="1">
      <alignment horizontal="center" vertical="center" wrapText="1"/>
      <protection locked="0"/>
    </xf>
    <xf numFmtId="164" fontId="28" fillId="0" borderId="19" xfId="1" applyNumberFormat="1" applyFont="1" applyBorder="1" applyAlignment="1" applyProtection="1">
      <alignment wrapText="1"/>
      <protection locked="0"/>
    </xf>
    <xf numFmtId="164" fontId="28" fillId="0" borderId="16" xfId="1" applyNumberFormat="1" applyFont="1" applyBorder="1" applyAlignment="1" applyProtection="1">
      <alignment wrapText="1"/>
      <protection locked="0"/>
    </xf>
    <xf numFmtId="164" fontId="28" fillId="0" borderId="17" xfId="1" applyNumberFormat="1" applyFont="1" applyBorder="1" applyAlignment="1" applyProtection="1">
      <alignment wrapText="1"/>
      <protection locked="0"/>
    </xf>
    <xf numFmtId="164" fontId="13" fillId="4" borderId="34" xfId="1" applyNumberFormat="1" applyFont="1" applyFill="1" applyBorder="1" applyAlignment="1" applyProtection="1">
      <alignment wrapText="1"/>
      <protection locked="0"/>
    </xf>
    <xf numFmtId="164" fontId="13" fillId="4" borderId="35" xfId="1" applyNumberFormat="1" applyFont="1" applyFill="1" applyBorder="1" applyAlignment="1" applyProtection="1">
      <alignment wrapText="1"/>
      <protection locked="0"/>
    </xf>
    <xf numFmtId="164" fontId="13" fillId="4" borderId="36" xfId="1" applyNumberFormat="1" applyFont="1" applyFill="1" applyBorder="1" applyAlignment="1" applyProtection="1">
      <alignment wrapText="1"/>
      <protection locked="0"/>
    </xf>
    <xf numFmtId="164" fontId="30" fillId="0" borderId="57" xfId="1" quotePrefix="1" applyNumberFormat="1" applyFont="1" applyBorder="1" applyAlignment="1" applyProtection="1">
      <alignment horizontal="center" vertical="center" wrapText="1"/>
      <protection locked="0"/>
    </xf>
    <xf numFmtId="164" fontId="30" fillId="0" borderId="57" xfId="1" applyNumberFormat="1" applyFont="1" applyBorder="1" applyAlignment="1">
      <alignment vertical="center" wrapText="1"/>
    </xf>
    <xf numFmtId="164" fontId="30" fillId="0" borderId="62" xfId="1" applyNumberFormat="1" applyFont="1" applyBorder="1" applyAlignment="1">
      <alignment vertical="center" wrapText="1"/>
    </xf>
    <xf numFmtId="164" fontId="30" fillId="0" borderId="46" xfId="1" applyNumberFormat="1" applyFont="1" applyBorder="1" applyAlignment="1">
      <alignment vertical="center" wrapText="1"/>
    </xf>
    <xf numFmtId="164" fontId="30" fillId="0" borderId="63" xfId="1" applyNumberFormat="1" applyFont="1" applyBorder="1" applyAlignment="1">
      <alignment vertical="center" wrapText="1"/>
    </xf>
    <xf numFmtId="164" fontId="30" fillId="0" borderId="58" xfId="1" applyNumberFormat="1" applyFont="1" applyBorder="1" applyAlignment="1">
      <alignment vertical="center" wrapText="1"/>
    </xf>
    <xf numFmtId="164" fontId="30" fillId="0" borderId="47" xfId="1" applyNumberFormat="1" applyFont="1" applyBorder="1" applyAlignment="1">
      <alignment vertical="center" wrapText="1"/>
    </xf>
    <xf numFmtId="164" fontId="28" fillId="0" borderId="45" xfId="1" applyNumberFormat="1" applyFont="1" applyBorder="1" applyAlignment="1" applyProtection="1">
      <alignment wrapText="1"/>
      <protection locked="0"/>
    </xf>
    <xf numFmtId="164" fontId="28" fillId="0" borderId="46" xfId="1" applyNumberFormat="1" applyFont="1" applyBorder="1" applyAlignment="1" applyProtection="1">
      <alignment wrapText="1"/>
      <protection locked="0"/>
    </xf>
    <xf numFmtId="164" fontId="28" fillId="0" borderId="63" xfId="1" applyNumberFormat="1" applyFont="1" applyBorder="1" applyAlignment="1" applyProtection="1">
      <alignment wrapText="1"/>
      <protection locked="0"/>
    </xf>
    <xf numFmtId="164" fontId="33" fillId="0" borderId="33" xfId="1" quotePrefix="1" applyNumberFormat="1" applyFont="1" applyBorder="1" applyAlignment="1" applyProtection="1">
      <alignment horizontal="center" vertical="center" wrapText="1"/>
      <protection locked="0"/>
    </xf>
    <xf numFmtId="164" fontId="33" fillId="0" borderId="23" xfId="1" quotePrefix="1" applyNumberFormat="1" applyFont="1" applyBorder="1" applyAlignment="1" applyProtection="1">
      <alignment horizontal="center" vertical="center" wrapText="1"/>
      <protection locked="0"/>
    </xf>
    <xf numFmtId="164" fontId="22" fillId="0" borderId="23" xfId="1" applyNumberFormat="1" applyFont="1" applyBorder="1" applyAlignment="1">
      <alignment vertical="center" wrapText="1"/>
    </xf>
    <xf numFmtId="164" fontId="22" fillId="0" borderId="24" xfId="1" applyNumberFormat="1" applyFont="1" applyBorder="1" applyAlignment="1">
      <alignment vertical="center" wrapText="1"/>
    </xf>
    <xf numFmtId="164" fontId="22" fillId="0" borderId="21" xfId="1" applyNumberFormat="1" applyFont="1" applyBorder="1" applyAlignment="1">
      <alignment vertical="center" wrapText="1"/>
    </xf>
    <xf numFmtId="164" fontId="22" fillId="0" borderId="25" xfId="1" applyNumberFormat="1" applyFont="1" applyBorder="1" applyAlignment="1">
      <alignment vertical="center" wrapText="1"/>
    </xf>
    <xf numFmtId="164" fontId="30" fillId="0" borderId="23" xfId="1" applyNumberFormat="1" applyFont="1" applyBorder="1" applyAlignment="1">
      <alignment vertical="center" wrapText="1"/>
    </xf>
    <xf numFmtId="164" fontId="15" fillId="0" borderId="24" xfId="1" applyNumberFormat="1" applyFont="1" applyBorder="1" applyAlignment="1">
      <alignment vertical="center" wrapText="1"/>
    </xf>
    <xf numFmtId="164" fontId="15" fillId="0" borderId="21" xfId="1" applyNumberFormat="1" applyFont="1" applyBorder="1" applyAlignment="1">
      <alignment vertical="center" wrapText="1"/>
    </xf>
    <xf numFmtId="164" fontId="15" fillId="0" borderId="22" xfId="1" applyNumberFormat="1" applyFont="1" applyBorder="1" applyAlignment="1">
      <alignment vertical="center" wrapText="1"/>
    </xf>
    <xf numFmtId="164" fontId="2" fillId="0" borderId="20" xfId="1" applyNumberFormat="1" applyFont="1" applyBorder="1" applyAlignment="1" applyProtection="1">
      <alignment wrapText="1"/>
      <protection locked="0"/>
    </xf>
    <xf numFmtId="164" fontId="2" fillId="0" borderId="21" xfId="1" applyNumberFormat="1" applyFont="1" applyBorder="1" applyAlignment="1" applyProtection="1">
      <alignment wrapText="1"/>
      <protection locked="0"/>
    </xf>
    <xf numFmtId="164" fontId="2" fillId="0" borderId="22" xfId="1" applyNumberFormat="1" applyFont="1" applyBorder="1" applyAlignment="1" applyProtection="1">
      <alignment wrapText="1"/>
      <protection locked="0"/>
    </xf>
    <xf numFmtId="164" fontId="15" fillId="0" borderId="25" xfId="1" applyNumberFormat="1" applyFont="1" applyBorder="1" applyAlignment="1">
      <alignment vertical="center" wrapText="1"/>
    </xf>
    <xf numFmtId="164" fontId="15" fillId="16" borderId="23" xfId="1" quotePrefix="1" applyNumberFormat="1" applyFont="1" applyFill="1" applyBorder="1" applyAlignment="1" applyProtection="1">
      <alignment horizontal="center" vertical="center" wrapText="1"/>
      <protection locked="0"/>
    </xf>
    <xf numFmtId="164" fontId="15" fillId="16" borderId="23" xfId="1" applyNumberFormat="1" applyFont="1" applyFill="1" applyBorder="1" applyAlignment="1">
      <alignment vertical="center" wrapText="1"/>
    </xf>
    <xf numFmtId="164" fontId="15" fillId="16" borderId="24" xfId="1" applyNumberFormat="1" applyFont="1" applyFill="1" applyBorder="1" applyAlignment="1">
      <alignment vertical="center" wrapText="1"/>
    </xf>
    <xf numFmtId="164" fontId="15" fillId="16" borderId="21" xfId="1" applyNumberFormat="1" applyFont="1" applyFill="1" applyBorder="1" applyAlignment="1">
      <alignment vertical="center" wrapText="1"/>
    </xf>
    <xf numFmtId="164" fontId="15" fillId="16" borderId="25" xfId="1" applyNumberFormat="1" applyFont="1" applyFill="1" applyBorder="1" applyAlignment="1">
      <alignment vertical="center" wrapText="1"/>
    </xf>
    <xf numFmtId="164" fontId="15" fillId="16" borderId="22" xfId="1" applyNumberFormat="1" applyFont="1" applyFill="1" applyBorder="1" applyAlignment="1">
      <alignment vertical="center" wrapText="1"/>
    </xf>
    <xf numFmtId="164" fontId="2" fillId="16" borderId="20" xfId="1" applyNumberFormat="1" applyFont="1" applyFill="1" applyBorder="1" applyAlignment="1" applyProtection="1">
      <alignment wrapText="1"/>
      <protection locked="0"/>
    </xf>
    <xf numFmtId="164" fontId="2" fillId="16" borderId="21" xfId="1" applyNumberFormat="1" applyFont="1" applyFill="1" applyBorder="1" applyAlignment="1" applyProtection="1">
      <alignment wrapText="1"/>
      <protection locked="0"/>
    </xf>
    <xf numFmtId="164" fontId="2" fillId="16" borderId="22" xfId="1" applyNumberFormat="1" applyFont="1" applyFill="1" applyBorder="1" applyAlignment="1" applyProtection="1">
      <alignment wrapText="1"/>
      <protection locked="0"/>
    </xf>
    <xf numFmtId="164" fontId="15" fillId="16" borderId="50" xfId="1" applyNumberFormat="1" applyFont="1" applyFill="1" applyBorder="1" applyAlignment="1">
      <alignment vertical="center" wrapText="1"/>
    </xf>
    <xf numFmtId="164" fontId="15" fillId="16" borderId="51" xfId="1" applyNumberFormat="1" applyFont="1" applyFill="1" applyBorder="1" applyAlignment="1">
      <alignment vertical="center" wrapText="1"/>
    </xf>
    <xf numFmtId="164" fontId="26" fillId="7" borderId="33" xfId="1" applyNumberFormat="1" applyFont="1" applyFill="1" applyBorder="1" applyAlignment="1">
      <alignment vertical="center" wrapText="1"/>
    </xf>
    <xf numFmtId="164" fontId="26" fillId="7" borderId="42" xfId="1" applyNumberFormat="1" applyFont="1" applyFill="1" applyBorder="1" applyAlignment="1">
      <alignment vertical="center" wrapText="1"/>
    </xf>
    <xf numFmtId="164" fontId="26" fillId="7" borderId="35" xfId="1" applyNumberFormat="1" applyFont="1" applyFill="1" applyBorder="1" applyAlignment="1">
      <alignment vertical="center" wrapText="1"/>
    </xf>
    <xf numFmtId="164" fontId="26" fillId="7" borderId="36" xfId="1" applyNumberFormat="1" applyFont="1" applyFill="1" applyBorder="1" applyAlignment="1">
      <alignment vertical="center" wrapText="1"/>
    </xf>
    <xf numFmtId="164" fontId="26" fillId="8" borderId="37" xfId="1" applyNumberFormat="1" applyFont="1" applyFill="1" applyBorder="1" applyAlignment="1">
      <alignment vertical="center" wrapText="1"/>
    </xf>
    <xf numFmtId="164" fontId="26" fillId="8" borderId="42" xfId="1" applyNumberFormat="1" applyFont="1" applyFill="1" applyBorder="1" applyAlignment="1">
      <alignment vertical="center" wrapText="1"/>
    </xf>
    <xf numFmtId="164" fontId="26" fillId="8" borderId="35" xfId="1" applyNumberFormat="1" applyFont="1" applyFill="1" applyBorder="1" applyAlignment="1">
      <alignment vertical="center" wrapText="1"/>
    </xf>
    <xf numFmtId="164" fontId="26" fillId="8" borderId="41" xfId="1" applyNumberFormat="1" applyFont="1" applyFill="1" applyBorder="1" applyAlignment="1">
      <alignment vertical="center" wrapText="1"/>
    </xf>
    <xf numFmtId="164" fontId="26" fillId="9" borderId="33" xfId="1" applyNumberFormat="1" applyFont="1" applyFill="1" applyBorder="1" applyAlignment="1">
      <alignment wrapText="1"/>
    </xf>
    <xf numFmtId="164" fontId="26" fillId="9" borderId="34" xfId="1" applyNumberFormat="1" applyFont="1" applyFill="1" applyBorder="1" applyAlignment="1">
      <alignment wrapText="1"/>
    </xf>
    <xf numFmtId="164" fontId="26" fillId="9" borderId="35" xfId="1" applyNumberFormat="1" applyFont="1" applyFill="1" applyBorder="1" applyAlignment="1">
      <alignment wrapText="1"/>
    </xf>
    <xf numFmtId="164" fontId="26" fillId="9" borderId="36" xfId="1" applyNumberFormat="1" applyFont="1" applyFill="1" applyBorder="1" applyAlignment="1">
      <alignment wrapText="1"/>
    </xf>
    <xf numFmtId="164" fontId="26" fillId="10" borderId="37" xfId="1" applyNumberFormat="1" applyFont="1" applyFill="1" applyBorder="1" applyAlignment="1">
      <alignment vertical="center" wrapText="1"/>
    </xf>
    <xf numFmtId="164" fontId="26" fillId="10" borderId="42" xfId="1" applyNumberFormat="1" applyFont="1" applyFill="1" applyBorder="1" applyAlignment="1">
      <alignment vertical="center" wrapText="1"/>
    </xf>
    <xf numFmtId="164" fontId="26" fillId="10" borderId="35" xfId="1" applyNumberFormat="1" applyFont="1" applyFill="1" applyBorder="1" applyAlignment="1">
      <alignment vertical="center" wrapText="1"/>
    </xf>
    <xf numFmtId="164" fontId="26" fillId="10" borderId="36" xfId="1" applyNumberFormat="1" applyFont="1" applyFill="1" applyBorder="1" applyAlignment="1">
      <alignment vertical="center" wrapText="1"/>
    </xf>
    <xf numFmtId="164" fontId="30" fillId="0" borderId="33" xfId="1" applyNumberFormat="1" applyFont="1" applyBorder="1" applyAlignment="1">
      <alignment wrapText="1"/>
    </xf>
    <xf numFmtId="164" fontId="30" fillId="0" borderId="43" xfId="1" applyNumberFormat="1" applyFont="1" applyBorder="1" applyAlignment="1" applyProtection="1">
      <alignment horizontal="center" vertical="center" wrapText="1"/>
      <protection locked="0"/>
    </xf>
    <xf numFmtId="164" fontId="26" fillId="17" borderId="36" xfId="1" applyNumberFormat="1" applyFont="1" applyFill="1" applyBorder="1" applyAlignment="1">
      <alignment vertical="center" wrapText="1"/>
    </xf>
    <xf numFmtId="164" fontId="7" fillId="7" borderId="48" xfId="1" applyNumberFormat="1" applyFont="1" applyFill="1" applyBorder="1" applyAlignment="1" applyProtection="1">
      <alignment horizontal="center" vertical="center" wrapText="1"/>
      <protection locked="0"/>
    </xf>
    <xf numFmtId="164" fontId="7" fillId="2" borderId="48" xfId="1" applyNumberFormat="1" applyFont="1" applyFill="1" applyBorder="1" applyAlignment="1">
      <alignment vertical="center" wrapText="1"/>
    </xf>
    <xf numFmtId="164" fontId="7" fillId="2" borderId="64" xfId="1" applyNumberFormat="1" applyFont="1" applyFill="1" applyBorder="1" applyAlignment="1">
      <alignment vertical="center" wrapText="1"/>
    </xf>
    <xf numFmtId="164" fontId="7" fillId="2" borderId="53" xfId="1" applyNumberFormat="1" applyFont="1" applyFill="1" applyBorder="1" applyAlignment="1">
      <alignment vertical="center" wrapText="1"/>
    </xf>
    <xf numFmtId="164" fontId="7" fillId="2" borderId="51" xfId="1" applyNumberFormat="1" applyFont="1" applyFill="1" applyBorder="1" applyAlignment="1">
      <alignment vertical="center" wrapText="1"/>
    </xf>
    <xf numFmtId="164" fontId="7" fillId="3" borderId="52" xfId="1" applyNumberFormat="1" applyFont="1" applyFill="1" applyBorder="1" applyAlignment="1">
      <alignment vertical="center" wrapText="1"/>
    </xf>
    <xf numFmtId="164" fontId="7" fillId="3" borderId="64" xfId="1" applyNumberFormat="1" applyFont="1" applyFill="1" applyBorder="1" applyAlignment="1">
      <alignment vertical="center" wrapText="1"/>
    </xf>
    <xf numFmtId="164" fontId="7" fillId="3" borderId="53" xfId="1" applyNumberFormat="1" applyFont="1" applyFill="1" applyBorder="1" applyAlignment="1">
      <alignment vertical="center" wrapText="1"/>
    </xf>
    <xf numFmtId="164" fontId="29" fillId="13" borderId="48" xfId="1" applyNumberFormat="1" applyFont="1" applyFill="1" applyBorder="1" applyAlignment="1">
      <alignment wrapText="1"/>
    </xf>
    <xf numFmtId="164" fontId="13" fillId="4" borderId="54" xfId="1" applyNumberFormat="1" applyFont="1" applyFill="1" applyBorder="1" applyAlignment="1" applyProtection="1">
      <alignment wrapText="1"/>
      <protection locked="0"/>
    </xf>
    <xf numFmtId="164" fontId="13" fillId="4" borderId="50" xfId="1" applyNumberFormat="1" applyFont="1" applyFill="1" applyBorder="1" applyAlignment="1" applyProtection="1">
      <alignment wrapText="1"/>
      <protection locked="0"/>
    </xf>
    <xf numFmtId="164" fontId="13" fillId="4" borderId="51" xfId="1" applyNumberFormat="1" applyFont="1" applyFill="1" applyBorder="1" applyAlignment="1" applyProtection="1">
      <alignment wrapText="1"/>
      <protection locked="0"/>
    </xf>
    <xf numFmtId="164" fontId="7" fillId="5" borderId="52" xfId="1" applyNumberFormat="1" applyFont="1" applyFill="1" applyBorder="1" applyAlignment="1">
      <alignment vertical="center" wrapText="1"/>
    </xf>
    <xf numFmtId="164" fontId="7" fillId="18" borderId="64" xfId="1" applyNumberFormat="1" applyFont="1" applyFill="1" applyBorder="1" applyAlignment="1">
      <alignment vertical="center" wrapText="1"/>
    </xf>
    <xf numFmtId="164" fontId="7" fillId="5" borderId="50" xfId="1" applyNumberFormat="1" applyFont="1" applyFill="1" applyBorder="1" applyAlignment="1">
      <alignment vertical="center" wrapText="1"/>
    </xf>
    <xf numFmtId="164" fontId="7" fillId="5" borderId="53" xfId="1" applyNumberFormat="1" applyFont="1" applyFill="1" applyBorder="1" applyAlignment="1">
      <alignment vertical="center" wrapText="1"/>
    </xf>
    <xf numFmtId="164" fontId="7" fillId="5" borderId="51" xfId="1" applyNumberFormat="1" applyFont="1" applyFill="1" applyBorder="1" applyAlignment="1">
      <alignment vertical="center" wrapText="1"/>
    </xf>
    <xf numFmtId="164" fontId="26" fillId="2" borderId="55" xfId="1" applyNumberFormat="1" applyFont="1" applyFill="1" applyBorder="1" applyAlignment="1" applyProtection="1">
      <alignment horizontal="center" vertical="center" wrapText="1"/>
      <protection locked="0"/>
    </xf>
    <xf numFmtId="164" fontId="26" fillId="2" borderId="65" xfId="1" applyNumberFormat="1" applyFont="1" applyFill="1" applyBorder="1" applyAlignment="1">
      <alignment vertical="center" wrapText="1"/>
    </xf>
    <xf numFmtId="164" fontId="26" fillId="2" borderId="61" xfId="1" applyNumberFormat="1" applyFont="1" applyFill="1" applyBorder="1" applyAlignment="1">
      <alignment vertical="center" wrapText="1"/>
    </xf>
    <xf numFmtId="164" fontId="26" fillId="3" borderId="65" xfId="1" applyNumberFormat="1" applyFont="1" applyFill="1" applyBorder="1" applyAlignment="1">
      <alignment vertical="center" wrapText="1"/>
    </xf>
    <xf numFmtId="164" fontId="34" fillId="13" borderId="55" xfId="1" applyNumberFormat="1" applyFont="1" applyFill="1" applyBorder="1" applyAlignment="1">
      <alignment wrapText="1"/>
    </xf>
    <xf numFmtId="164" fontId="27" fillId="4" borderId="60" xfId="1" applyNumberFormat="1" applyFont="1" applyFill="1" applyBorder="1" applyAlignment="1" applyProtection="1">
      <alignment wrapText="1"/>
      <protection locked="0"/>
    </xf>
    <xf numFmtId="164" fontId="27" fillId="4" borderId="39" xfId="1" applyNumberFormat="1" applyFont="1" applyFill="1" applyBorder="1" applyAlignment="1" applyProtection="1">
      <alignment wrapText="1"/>
      <protection locked="0"/>
    </xf>
    <xf numFmtId="164" fontId="27" fillId="4" borderId="40" xfId="1" applyNumberFormat="1" applyFont="1" applyFill="1" applyBorder="1" applyAlignment="1" applyProtection="1">
      <alignment wrapText="1"/>
      <protection locked="0"/>
    </xf>
    <xf numFmtId="164" fontId="26" fillId="5" borderId="65" xfId="1" applyNumberFormat="1" applyFont="1" applyFill="1" applyBorder="1" applyAlignment="1">
      <alignment vertical="center" wrapText="1"/>
    </xf>
    <xf numFmtId="164" fontId="26" fillId="5" borderId="61" xfId="1" applyNumberFormat="1" applyFont="1" applyFill="1" applyBorder="1" applyAlignment="1">
      <alignment vertical="center" wrapText="1"/>
    </xf>
    <xf numFmtId="164" fontId="7" fillId="15" borderId="33" xfId="1" applyNumberFormat="1" applyFont="1" applyFill="1" applyBorder="1" applyAlignment="1">
      <alignment vertical="center" wrapText="1"/>
    </xf>
    <xf numFmtId="164" fontId="7" fillId="15" borderId="42" xfId="1" applyNumberFormat="1" applyFont="1" applyFill="1" applyBorder="1" applyAlignment="1">
      <alignment vertical="center" wrapText="1"/>
    </xf>
    <xf numFmtId="164" fontId="7" fillId="15" borderId="35" xfId="1" applyNumberFormat="1" applyFont="1" applyFill="1" applyBorder="1" applyAlignment="1">
      <alignment vertical="center" wrapText="1"/>
    </xf>
    <xf numFmtId="164" fontId="7" fillId="15" borderId="36" xfId="1" applyNumberFormat="1" applyFont="1" applyFill="1" applyBorder="1" applyAlignment="1">
      <alignment vertical="center" wrapText="1"/>
    </xf>
    <xf numFmtId="164" fontId="7" fillId="12" borderId="37" xfId="1" applyNumberFormat="1" applyFont="1" applyFill="1" applyBorder="1" applyAlignment="1">
      <alignment vertical="center" wrapText="1"/>
    </xf>
    <xf numFmtId="164" fontId="7" fillId="12" borderId="42" xfId="1" applyNumberFormat="1" applyFont="1" applyFill="1" applyBorder="1" applyAlignment="1">
      <alignment vertical="center" wrapText="1"/>
    </xf>
    <xf numFmtId="164" fontId="7" fillId="12" borderId="35" xfId="1" applyNumberFormat="1" applyFont="1" applyFill="1" applyBorder="1" applyAlignment="1">
      <alignment vertical="center" wrapText="1"/>
    </xf>
    <xf numFmtId="164" fontId="7" fillId="12" borderId="41" xfId="1" applyNumberFormat="1" applyFont="1" applyFill="1" applyBorder="1" applyAlignment="1">
      <alignment vertical="center" wrapText="1"/>
    </xf>
    <xf numFmtId="164" fontId="7" fillId="13" borderId="33" xfId="1" applyNumberFormat="1" applyFont="1" applyFill="1" applyBorder="1" applyAlignment="1">
      <alignment vertical="center" wrapText="1"/>
    </xf>
    <xf numFmtId="164" fontId="7" fillId="13" borderId="42" xfId="1" applyNumberFormat="1" applyFont="1" applyFill="1" applyBorder="1" applyAlignment="1">
      <alignment vertical="center" wrapText="1"/>
    </xf>
    <xf numFmtId="164" fontId="7" fillId="13" borderId="35" xfId="1" applyNumberFormat="1" applyFont="1" applyFill="1" applyBorder="1" applyAlignment="1">
      <alignment vertical="center" wrapText="1"/>
    </xf>
    <xf numFmtId="164" fontId="7" fillId="13" borderId="36" xfId="1" applyNumberFormat="1" applyFont="1" applyFill="1" applyBorder="1" applyAlignment="1">
      <alignment vertical="center" wrapText="1"/>
    </xf>
    <xf numFmtId="164" fontId="7" fillId="14" borderId="37" xfId="1" applyNumberFormat="1" applyFont="1" applyFill="1" applyBorder="1" applyAlignment="1">
      <alignment vertical="center" wrapText="1"/>
    </xf>
    <xf numFmtId="164" fontId="7" fillId="14" borderId="42" xfId="1" applyNumberFormat="1" applyFont="1" applyFill="1" applyBorder="1" applyAlignment="1">
      <alignment vertical="center" wrapText="1"/>
    </xf>
    <xf numFmtId="164" fontId="7" fillId="14" borderId="35" xfId="1" applyNumberFormat="1" applyFont="1" applyFill="1" applyBorder="1" applyAlignment="1">
      <alignment vertical="center" wrapText="1"/>
    </xf>
    <xf numFmtId="164" fontId="7" fillId="14" borderId="36" xfId="1" applyNumberFormat="1" applyFont="1" applyFill="1" applyBorder="1" applyAlignment="1">
      <alignment vertical="center" wrapText="1"/>
    </xf>
    <xf numFmtId="164" fontId="30" fillId="0" borderId="57" xfId="1" applyNumberFormat="1" applyFont="1" applyBorder="1" applyAlignment="1" applyProtection="1">
      <alignment horizontal="center" vertical="center" wrapText="1"/>
      <protection locked="0"/>
    </xf>
    <xf numFmtId="164" fontId="26" fillId="0" borderId="57" xfId="1" applyNumberFormat="1" applyFont="1" applyBorder="1" applyAlignment="1">
      <alignment vertical="center" wrapText="1"/>
    </xf>
    <xf numFmtId="164" fontId="26" fillId="0" borderId="62" xfId="1" applyNumberFormat="1" applyFont="1" applyBorder="1" applyAlignment="1">
      <alignment vertical="center" wrapText="1"/>
    </xf>
    <xf numFmtId="164" fontId="26" fillId="0" borderId="46" xfId="1" applyNumberFormat="1" applyFont="1" applyBorder="1" applyAlignment="1">
      <alignment vertical="center" wrapText="1"/>
    </xf>
    <xf numFmtId="164" fontId="26" fillId="0" borderId="63" xfId="1" applyNumberFormat="1" applyFont="1" applyBorder="1" applyAlignment="1">
      <alignment vertical="center" wrapText="1"/>
    </xf>
    <xf numFmtId="164" fontId="26" fillId="0" borderId="58" xfId="1" applyNumberFormat="1" applyFont="1" applyBorder="1" applyAlignment="1">
      <alignment vertical="center" wrapText="1"/>
    </xf>
    <xf numFmtId="164" fontId="26" fillId="0" borderId="47" xfId="1" applyNumberFormat="1" applyFont="1" applyBorder="1" applyAlignment="1">
      <alignment vertical="center" wrapText="1"/>
    </xf>
    <xf numFmtId="164" fontId="15" fillId="0" borderId="48" xfId="1" applyNumberFormat="1" applyFont="1" applyBorder="1" applyAlignment="1" applyProtection="1">
      <alignment horizontal="center" vertical="center" wrapText="1"/>
      <protection locked="0"/>
    </xf>
    <xf numFmtId="164" fontId="2" fillId="19" borderId="66" xfId="1" applyNumberFormat="1" applyFont="1" applyFill="1" applyBorder="1" applyAlignment="1" applyProtection="1">
      <alignment vertical="center" wrapText="1"/>
      <protection locked="0"/>
    </xf>
    <xf numFmtId="164" fontId="2" fillId="19" borderId="67" xfId="1" applyNumberFormat="1" applyFont="1" applyFill="1" applyBorder="1" applyAlignment="1" applyProtection="1">
      <alignment vertical="center" wrapText="1"/>
      <protection locked="0"/>
    </xf>
    <xf numFmtId="164" fontId="2" fillId="19" borderId="26" xfId="1" applyNumberFormat="1" applyFont="1" applyFill="1" applyBorder="1" applyAlignment="1" applyProtection="1">
      <alignment vertical="center" wrapText="1"/>
      <protection locked="0"/>
    </xf>
    <xf numFmtId="164" fontId="13" fillId="0" borderId="38" xfId="1" quotePrefix="1" applyNumberFormat="1" applyFont="1" applyBorder="1" applyAlignment="1" applyProtection="1">
      <alignment horizontal="left" vertical="center" wrapText="1"/>
      <protection locked="0"/>
    </xf>
    <xf numFmtId="164" fontId="13" fillId="0" borderId="39" xfId="1" quotePrefix="1" applyNumberFormat="1" applyFont="1" applyBorder="1" applyAlignment="1" applyProtection="1">
      <alignment horizontal="left" vertical="center" wrapText="1"/>
      <protection locked="0"/>
    </xf>
    <xf numFmtId="164" fontId="2" fillId="0" borderId="39" xfId="1" applyNumberFormat="1" applyFont="1" applyBorder="1" applyAlignment="1" applyProtection="1">
      <alignment horizontal="center" vertical="center" wrapText="1"/>
      <protection locked="0"/>
    </xf>
    <xf numFmtId="164" fontId="7" fillId="0" borderId="39" xfId="1" applyNumberFormat="1" applyFont="1" applyBorder="1" applyAlignment="1" applyProtection="1">
      <alignment horizontal="left" vertical="center" wrapText="1"/>
      <protection locked="0"/>
    </xf>
    <xf numFmtId="164" fontId="7" fillId="0" borderId="61" xfId="1" quotePrefix="1" applyNumberFormat="1" applyFont="1" applyBorder="1" applyAlignment="1" applyProtection="1">
      <alignment horizontal="center" vertical="center" wrapText="1"/>
      <protection locked="0"/>
    </xf>
    <xf numFmtId="164" fontId="7" fillId="0" borderId="40" xfId="1" applyNumberFormat="1" applyFont="1" applyBorder="1" applyAlignment="1">
      <alignment vertical="center" wrapText="1"/>
    </xf>
    <xf numFmtId="164" fontId="7" fillId="0" borderId="60" xfId="1" applyNumberFormat="1" applyFont="1" applyBorder="1" applyAlignment="1">
      <alignment vertical="center" wrapText="1"/>
    </xf>
    <xf numFmtId="164" fontId="7" fillId="0" borderId="39" xfId="1" applyNumberFormat="1" applyFont="1" applyBorder="1" applyAlignment="1">
      <alignment vertical="center" wrapText="1"/>
    </xf>
    <xf numFmtId="164" fontId="7" fillId="0" borderId="65" xfId="1" applyNumberFormat="1" applyFont="1" applyBorder="1" applyAlignment="1">
      <alignment vertical="center" wrapText="1"/>
    </xf>
    <xf numFmtId="164" fontId="13" fillId="0" borderId="38" xfId="1" applyNumberFormat="1" applyFont="1" applyBorder="1" applyAlignment="1" applyProtection="1">
      <alignment horizontal="left" vertical="center" wrapText="1"/>
      <protection locked="0"/>
    </xf>
    <xf numFmtId="164" fontId="13" fillId="0" borderId="39" xfId="1" applyNumberFormat="1" applyFont="1" applyBorder="1" applyAlignment="1" applyProtection="1">
      <alignment horizontal="left" vertical="center" wrapText="1"/>
      <protection locked="0"/>
    </xf>
    <xf numFmtId="164" fontId="13" fillId="0" borderId="34" xfId="1" quotePrefix="1" applyNumberFormat="1" applyFont="1" applyBorder="1" applyAlignment="1" applyProtection="1">
      <alignment horizontal="left" vertical="center" wrapText="1"/>
      <protection locked="0"/>
    </xf>
    <xf numFmtId="164" fontId="7" fillId="0" borderId="61" xfId="1" quotePrefix="1" applyNumberFormat="1" applyFont="1" applyBorder="1" applyAlignment="1" applyProtection="1">
      <alignment horizontal="right" vertical="center" wrapText="1"/>
      <protection locked="0"/>
    </xf>
    <xf numFmtId="164" fontId="13" fillId="0" borderId="19" xfId="1" applyNumberFormat="1" applyFont="1" applyBorder="1" applyAlignment="1" applyProtection="1">
      <alignment horizontal="left" vertical="center" wrapText="1"/>
      <protection locked="0"/>
    </xf>
    <xf numFmtId="164" fontId="13" fillId="0" borderId="16" xfId="1" quotePrefix="1" applyNumberFormat="1" applyFont="1" applyBorder="1" applyAlignment="1" applyProtection="1">
      <alignment horizontal="left" vertical="center" wrapText="1"/>
      <protection locked="0"/>
    </xf>
    <xf numFmtId="164" fontId="7" fillId="0" borderId="46" xfId="1" applyNumberFormat="1" applyFont="1" applyBorder="1" applyAlignment="1" applyProtection="1">
      <alignment horizontal="left" vertical="center" wrapText="1"/>
      <protection locked="0"/>
    </xf>
    <xf numFmtId="164" fontId="7" fillId="0" borderId="47" xfId="1" quotePrefix="1" applyNumberFormat="1" applyFont="1" applyBorder="1" applyAlignment="1" applyProtection="1">
      <alignment horizontal="right" vertical="center" wrapText="1"/>
      <protection locked="0"/>
    </xf>
    <xf numFmtId="164" fontId="15" fillId="0" borderId="63" xfId="1" applyNumberFormat="1" applyFont="1" applyBorder="1" applyAlignment="1">
      <alignment vertical="center" wrapText="1"/>
    </xf>
    <xf numFmtId="164" fontId="15" fillId="0" borderId="62" xfId="1" applyNumberFormat="1" applyFont="1" applyBorder="1" applyAlignment="1">
      <alignment vertical="center" wrapText="1"/>
    </xf>
    <xf numFmtId="164" fontId="15" fillId="0" borderId="46" xfId="1" applyNumberFormat="1" applyFont="1" applyBorder="1" applyAlignment="1">
      <alignment vertical="center" wrapText="1"/>
    </xf>
    <xf numFmtId="164" fontId="15" fillId="0" borderId="0" xfId="1" applyNumberFormat="1" applyFont="1" applyAlignment="1">
      <alignment vertical="center" wrapText="1"/>
    </xf>
    <xf numFmtId="164" fontId="7" fillId="0" borderId="41" xfId="1" quotePrefix="1" applyNumberFormat="1" applyFont="1" applyBorder="1" applyAlignment="1" applyProtection="1">
      <alignment horizontal="center" vertical="center" wrapText="1"/>
      <protection locked="0"/>
    </xf>
    <xf numFmtId="164" fontId="7" fillId="0" borderId="36" xfId="1" applyNumberFormat="1" applyFont="1" applyBorder="1" applyAlignment="1">
      <alignment vertical="center" wrapText="1"/>
    </xf>
    <xf numFmtId="164" fontId="7" fillId="0" borderId="42" xfId="1" applyNumberFormat="1" applyFont="1" applyBorder="1" applyAlignment="1">
      <alignment vertical="center" wrapText="1"/>
    </xf>
    <xf numFmtId="164" fontId="7" fillId="0" borderId="35" xfId="1" applyNumberFormat="1" applyFont="1" applyBorder="1" applyAlignment="1">
      <alignment vertical="center" wrapText="1"/>
    </xf>
    <xf numFmtId="164" fontId="7" fillId="0" borderId="68" xfId="1" applyNumberFormat="1" applyFont="1" applyBorder="1" applyAlignment="1">
      <alignment vertical="center" wrapText="1"/>
    </xf>
    <xf numFmtId="164" fontId="7" fillId="0" borderId="41" xfId="1" applyNumberFormat="1" applyFont="1" applyBorder="1" applyAlignment="1" applyProtection="1">
      <alignment horizontal="right" vertical="center" wrapText="1"/>
      <protection locked="0"/>
    </xf>
    <xf numFmtId="164" fontId="15" fillId="0" borderId="68" xfId="1" applyNumberFormat="1" applyFont="1" applyBorder="1" applyAlignment="1">
      <alignment vertical="center" wrapText="1"/>
    </xf>
    <xf numFmtId="164" fontId="2" fillId="0" borderId="54" xfId="1" applyNumberFormat="1" applyFont="1" applyBorder="1" applyAlignment="1" applyProtection="1">
      <alignment horizontal="center" vertical="center" wrapText="1"/>
      <protection locked="0"/>
    </xf>
    <xf numFmtId="164" fontId="13" fillId="0" borderId="50" xfId="1" quotePrefix="1" applyNumberFormat="1" applyFont="1" applyBorder="1" applyAlignment="1" applyProtection="1">
      <alignment horizontal="left" vertical="center" wrapText="1"/>
      <protection locked="0"/>
    </xf>
    <xf numFmtId="164" fontId="2" fillId="0" borderId="50" xfId="1" applyNumberFormat="1" applyFont="1" applyBorder="1" applyAlignment="1" applyProtection="1">
      <alignment horizontal="center" vertical="center" wrapText="1"/>
      <protection locked="0"/>
    </xf>
    <xf numFmtId="164" fontId="7" fillId="0" borderId="50" xfId="1" applyNumberFormat="1" applyFont="1" applyBorder="1" applyAlignment="1" applyProtection="1">
      <alignment horizontal="left" vertical="center" wrapText="1"/>
      <protection locked="0"/>
    </xf>
    <xf numFmtId="164" fontId="7" fillId="0" borderId="53" xfId="1" applyNumberFormat="1" applyFont="1" applyBorder="1" applyAlignment="1" applyProtection="1">
      <alignment horizontal="right" vertical="center" wrapText="1"/>
      <protection locked="0"/>
    </xf>
    <xf numFmtId="164" fontId="15" fillId="0" borderId="64" xfId="1" applyNumberFormat="1" applyFont="1" applyBorder="1" applyAlignment="1">
      <alignment vertical="center" wrapText="1"/>
    </xf>
    <xf numFmtId="164" fontId="2" fillId="0" borderId="39" xfId="1" applyNumberFormat="1" applyFont="1" applyBorder="1" applyAlignment="1" applyProtection="1">
      <alignment horizontal="left" vertical="center" wrapText="1"/>
      <protection locked="0"/>
    </xf>
    <xf numFmtId="164" fontId="7" fillId="2" borderId="39" xfId="1" applyNumberFormat="1" applyFont="1" applyFill="1" applyBorder="1" applyAlignment="1" applyProtection="1">
      <alignment horizontal="left" vertical="center" wrapText="1"/>
      <protection locked="0"/>
    </xf>
    <xf numFmtId="164" fontId="15" fillId="2" borderId="61" xfId="1" applyNumberFormat="1" applyFont="1" applyFill="1" applyBorder="1" applyAlignment="1" applyProtection="1">
      <alignment horizontal="right" vertical="center" wrapText="1"/>
      <protection locked="0"/>
    </xf>
    <xf numFmtId="164" fontId="7" fillId="15" borderId="40" xfId="1" applyNumberFormat="1" applyFont="1" applyFill="1" applyBorder="1" applyAlignment="1">
      <alignment vertical="center" wrapText="1"/>
    </xf>
    <xf numFmtId="164" fontId="7" fillId="15" borderId="60" xfId="1" applyNumberFormat="1" applyFont="1" applyFill="1" applyBorder="1" applyAlignment="1">
      <alignment vertical="center" wrapText="1"/>
    </xf>
    <xf numFmtId="164" fontId="7" fillId="15" borderId="39" xfId="1" applyNumberFormat="1" applyFont="1" applyFill="1" applyBorder="1" applyAlignment="1">
      <alignment vertical="center" wrapText="1"/>
    </xf>
    <xf numFmtId="164" fontId="7" fillId="15" borderId="65" xfId="1" applyNumberFormat="1" applyFont="1" applyFill="1" applyBorder="1" applyAlignment="1">
      <alignment vertical="center" wrapText="1"/>
    </xf>
    <xf numFmtId="164" fontId="2" fillId="0" borderId="35" xfId="1" applyNumberFormat="1" applyFont="1" applyBorder="1" applyAlignment="1" applyProtection="1">
      <alignment horizontal="left" vertical="center" wrapText="1"/>
      <protection locked="0"/>
    </xf>
    <xf numFmtId="164" fontId="7" fillId="2" borderId="35" xfId="1" applyNumberFormat="1" applyFont="1" applyFill="1" applyBorder="1" applyAlignment="1" applyProtection="1">
      <alignment horizontal="left" vertical="center" wrapText="1"/>
      <protection locked="0"/>
    </xf>
    <xf numFmtId="164" fontId="15" fillId="2" borderId="41" xfId="1" quotePrefix="1" applyNumberFormat="1" applyFont="1" applyFill="1" applyBorder="1" applyAlignment="1" applyProtection="1">
      <alignment horizontal="right" vertical="center" wrapText="1"/>
      <protection locked="0"/>
    </xf>
    <xf numFmtId="164" fontId="7" fillId="15" borderId="68" xfId="1" applyNumberFormat="1" applyFont="1" applyFill="1" applyBorder="1" applyAlignment="1">
      <alignment vertical="center" wrapText="1"/>
    </xf>
    <xf numFmtId="49" fontId="13" fillId="0" borderId="35" xfId="1" applyNumberFormat="1" applyFont="1" applyBorder="1" applyAlignment="1" applyProtection="1">
      <alignment horizontal="left" vertical="center" wrapText="1"/>
      <protection locked="0"/>
    </xf>
    <xf numFmtId="164" fontId="2" fillId="0" borderId="34" xfId="1" applyNumberFormat="1" applyFont="1" applyBorder="1" applyAlignment="1" applyProtection="1">
      <alignment horizontal="left" vertical="center" wrapText="1"/>
      <protection locked="0"/>
    </xf>
    <xf numFmtId="164" fontId="15" fillId="0" borderId="35" xfId="1" applyNumberFormat="1" applyFont="1" applyBorder="1" applyAlignment="1" applyProtection="1">
      <alignment vertical="center" wrapText="1"/>
      <protection locked="0"/>
    </xf>
    <xf numFmtId="164" fontId="2" fillId="0" borderId="54" xfId="1" applyNumberFormat="1" applyFont="1" applyBorder="1" applyAlignment="1" applyProtection="1">
      <alignment horizontal="left" vertical="center" wrapText="1"/>
      <protection locked="0"/>
    </xf>
    <xf numFmtId="164" fontId="2" fillId="0" borderId="50" xfId="1" applyNumberFormat="1" applyFont="1" applyBorder="1" applyAlignment="1" applyProtection="1">
      <alignment horizontal="left" vertical="center" wrapText="1"/>
      <protection locked="0"/>
    </xf>
    <xf numFmtId="164" fontId="13" fillId="0" borderId="50" xfId="1" applyNumberFormat="1" applyFont="1" applyBorder="1" applyAlignment="1" applyProtection="1">
      <alignment horizontal="left" vertical="center" wrapText="1"/>
      <protection locked="0"/>
    </xf>
    <xf numFmtId="164" fontId="15" fillId="0" borderId="50" xfId="1" applyNumberFormat="1" applyFont="1" applyBorder="1" applyAlignment="1" applyProtection="1">
      <alignment horizontal="left" vertical="center" wrapText="1"/>
      <protection locked="0"/>
    </xf>
    <xf numFmtId="164" fontId="15" fillId="0" borderId="53" xfId="1" quotePrefix="1" applyNumberFormat="1" applyFont="1" applyBorder="1" applyAlignment="1" applyProtection="1">
      <alignment horizontal="right" vertical="center" wrapText="1"/>
      <protection locked="0"/>
    </xf>
    <xf numFmtId="164" fontId="15" fillId="0" borderId="0" xfId="1" applyNumberFormat="1" applyFont="1" applyProtection="1">
      <protection locked="0"/>
    </xf>
    <xf numFmtId="164" fontId="32" fillId="0" borderId="0" xfId="1" applyNumberFormat="1" applyFont="1" applyProtection="1">
      <protection locked="0"/>
    </xf>
    <xf numFmtId="164" fontId="7" fillId="0" borderId="0" xfId="1" applyNumberFormat="1" applyFont="1" applyProtection="1">
      <protection locked="0"/>
    </xf>
    <xf numFmtId="164" fontId="13" fillId="0" borderId="0" xfId="1" applyNumberFormat="1" applyFont="1" applyProtection="1">
      <protection locked="0"/>
    </xf>
    <xf numFmtId="164" fontId="7" fillId="0" borderId="0" xfId="1" applyNumberFormat="1" applyFont="1" applyAlignment="1" applyProtection="1">
      <alignment vertical="center"/>
      <protection locked="0"/>
    </xf>
    <xf numFmtId="164" fontId="13" fillId="0" borderId="0" xfId="1" applyNumberFormat="1" applyFont="1" applyAlignment="1" applyProtection="1">
      <alignment horizontal="center"/>
      <protection locked="0"/>
    </xf>
    <xf numFmtId="164" fontId="16" fillId="0" borderId="0" xfId="1" applyNumberFormat="1" applyFont="1" applyProtection="1">
      <protection locked="0"/>
    </xf>
    <xf numFmtId="164" fontId="35" fillId="0" borderId="0" xfId="1" applyNumberFormat="1" applyFont="1" applyProtection="1">
      <protection locked="0"/>
    </xf>
    <xf numFmtId="164" fontId="16" fillId="0" borderId="0" xfId="1" applyNumberFormat="1" applyFont="1" applyAlignment="1" applyProtection="1">
      <alignment horizontal="center"/>
      <protection locked="0"/>
    </xf>
    <xf numFmtId="4" fontId="15" fillId="0" borderId="0" xfId="1" applyNumberFormat="1" applyFont="1" applyProtection="1">
      <protection locked="0"/>
    </xf>
    <xf numFmtId="4" fontId="15" fillId="20" borderId="0" xfId="1" applyNumberFormat="1" applyFont="1" applyFill="1" applyAlignment="1" applyProtection="1">
      <alignment vertical="top" wrapText="1"/>
      <protection locked="0"/>
    </xf>
    <xf numFmtId="4" fontId="7" fillId="0" borderId="0" xfId="1" applyNumberFormat="1" applyFont="1" applyProtection="1">
      <protection locked="0"/>
    </xf>
    <xf numFmtId="4" fontId="7" fillId="0" borderId="0" xfId="1" applyNumberFormat="1" applyFont="1" applyAlignment="1" applyProtection="1">
      <alignment horizontal="center"/>
      <protection locked="0"/>
    </xf>
    <xf numFmtId="4" fontId="7" fillId="0" borderId="0" xfId="1" applyNumberFormat="1" applyFont="1" applyAlignment="1" applyProtection="1">
      <alignment horizontal="center" vertical="center"/>
      <protection locked="0"/>
    </xf>
    <xf numFmtId="164" fontId="2" fillId="0" borderId="0" xfId="1" applyNumberFormat="1" applyFont="1" applyAlignment="1" applyProtection="1">
      <alignment horizontal="center"/>
      <protection locked="0"/>
    </xf>
    <xf numFmtId="4" fontId="7" fillId="0" borderId="0" xfId="1" applyNumberFormat="1" applyFont="1" applyAlignment="1" applyProtection="1">
      <alignment vertical="center"/>
      <protection locked="0"/>
    </xf>
    <xf numFmtId="164" fontId="2" fillId="0" borderId="0" xfId="1" applyNumberFormat="1" applyFont="1" applyAlignment="1" applyProtection="1">
      <alignment vertical="center"/>
      <protection locked="0"/>
    </xf>
    <xf numFmtId="164" fontId="13" fillId="0" borderId="0" xfId="1" applyNumberFormat="1" applyFont="1" applyAlignment="1" applyProtection="1">
      <alignment horizontal="center" vertical="center"/>
      <protection locked="0"/>
    </xf>
    <xf numFmtId="164" fontId="7" fillId="5" borderId="48" xfId="1" applyNumberFormat="1" applyFont="1" applyFill="1" applyBorder="1" applyAlignment="1" applyProtection="1">
      <alignment horizontal="right" vertical="center" wrapText="1"/>
      <protection locked="0"/>
    </xf>
    <xf numFmtId="164" fontId="15" fillId="16" borderId="33" xfId="1" applyNumberFormat="1" applyFont="1" applyFill="1" applyBorder="1" applyAlignment="1" applyProtection="1">
      <alignment horizontal="center" vertical="center" wrapText="1"/>
      <protection locked="0"/>
    </xf>
    <xf numFmtId="164" fontId="15" fillId="16" borderId="33" xfId="1" applyNumberFormat="1" applyFont="1" applyFill="1" applyBorder="1" applyAlignment="1">
      <alignment vertical="center" wrapText="1"/>
    </xf>
    <xf numFmtId="164" fontId="15" fillId="16" borderId="42" xfId="1" applyNumberFormat="1" applyFont="1" applyFill="1" applyBorder="1" applyAlignment="1">
      <alignment vertical="center" wrapText="1"/>
    </xf>
    <xf numFmtId="164" fontId="15" fillId="16" borderId="35" xfId="1" applyNumberFormat="1" applyFont="1" applyFill="1" applyBorder="1" applyAlignment="1">
      <alignment vertical="center" wrapText="1"/>
    </xf>
    <xf numFmtId="164" fontId="15" fillId="16" borderId="36" xfId="1" applyNumberFormat="1" applyFont="1" applyFill="1" applyBorder="1" applyAlignment="1">
      <alignment vertical="center" wrapText="1"/>
    </xf>
    <xf numFmtId="164" fontId="15" fillId="16" borderId="37" xfId="1" applyNumberFormat="1" applyFont="1" applyFill="1" applyBorder="1" applyAlignment="1">
      <alignment vertical="center" wrapText="1"/>
    </xf>
    <xf numFmtId="164" fontId="15" fillId="16" borderId="41" xfId="1" applyNumberFormat="1" applyFont="1" applyFill="1" applyBorder="1" applyAlignment="1">
      <alignment vertical="center" wrapText="1"/>
    </xf>
    <xf numFmtId="164" fontId="15" fillId="16" borderId="33" xfId="1" applyNumberFormat="1" applyFont="1" applyFill="1" applyBorder="1" applyAlignment="1">
      <alignment wrapText="1"/>
    </xf>
    <xf numFmtId="164" fontId="2" fillId="16" borderId="34" xfId="1" applyNumberFormat="1" applyFont="1" applyFill="1" applyBorder="1" applyAlignment="1" applyProtection="1">
      <alignment wrapText="1"/>
      <protection locked="0"/>
    </xf>
    <xf numFmtId="164" fontId="2" fillId="16" borderId="35" xfId="1" applyNumberFormat="1" applyFont="1" applyFill="1" applyBorder="1" applyAlignment="1" applyProtection="1">
      <alignment wrapText="1"/>
      <protection locked="0"/>
    </xf>
    <xf numFmtId="164" fontId="2" fillId="16" borderId="36" xfId="1" applyNumberFormat="1" applyFont="1" applyFill="1" applyBorder="1" applyAlignment="1" applyProtection="1">
      <alignment wrapText="1"/>
      <protection locked="0"/>
    </xf>
    <xf numFmtId="164" fontId="24" fillId="0" borderId="0" xfId="1" applyNumberFormat="1" applyFont="1" applyProtection="1">
      <protection locked="0"/>
    </xf>
    <xf numFmtId="164" fontId="24" fillId="0" borderId="36" xfId="1" applyNumberFormat="1" applyFont="1" applyBorder="1" applyAlignment="1" applyProtection="1">
      <alignment wrapText="1"/>
      <protection locked="0"/>
    </xf>
    <xf numFmtId="164" fontId="2" fillId="16" borderId="41" xfId="1" applyNumberFormat="1" applyFont="1" applyFill="1" applyBorder="1" applyAlignment="1" applyProtection="1">
      <alignment wrapText="1"/>
      <protection locked="0"/>
    </xf>
    <xf numFmtId="164" fontId="15" fillId="16" borderId="48" xfId="1" applyNumberFormat="1" applyFont="1" applyFill="1" applyBorder="1" applyAlignment="1" applyProtection="1">
      <alignment horizontal="center" vertical="center" wrapText="1"/>
      <protection locked="0"/>
    </xf>
    <xf numFmtId="164" fontId="15" fillId="16" borderId="43" xfId="1" quotePrefix="1" applyNumberFormat="1" applyFont="1" applyFill="1" applyBorder="1" applyAlignment="1" applyProtection="1">
      <alignment horizontal="center" vertical="center" wrapText="1"/>
      <protection locked="0"/>
    </xf>
    <xf numFmtId="164" fontId="15" fillId="16" borderId="43" xfId="1" applyNumberFormat="1" applyFont="1" applyFill="1" applyBorder="1" applyAlignment="1">
      <alignment vertical="center" wrapText="1"/>
    </xf>
    <xf numFmtId="164" fontId="15" fillId="16" borderId="15" xfId="1" applyNumberFormat="1" applyFont="1" applyFill="1" applyBorder="1" applyAlignment="1">
      <alignment vertical="center" wrapText="1"/>
    </xf>
    <xf numFmtId="164" fontId="15" fillId="16" borderId="16" xfId="1" applyNumberFormat="1" applyFont="1" applyFill="1" applyBorder="1" applyAlignment="1">
      <alignment vertical="center" wrapText="1"/>
    </xf>
    <xf numFmtId="164" fontId="15" fillId="16" borderId="17" xfId="1" applyNumberFormat="1" applyFont="1" applyFill="1" applyBorder="1" applyAlignment="1">
      <alignment vertical="center" wrapText="1"/>
    </xf>
    <xf numFmtId="164" fontId="15" fillId="16" borderId="18" xfId="1" applyNumberFormat="1" applyFont="1" applyFill="1" applyBorder="1" applyAlignment="1">
      <alignment vertical="center" wrapText="1"/>
    </xf>
    <xf numFmtId="164" fontId="2" fillId="16" borderId="19" xfId="1" applyNumberFormat="1" applyFont="1" applyFill="1" applyBorder="1" applyAlignment="1" applyProtection="1">
      <alignment wrapText="1"/>
      <protection locked="0"/>
    </xf>
    <xf numFmtId="164" fontId="2" fillId="16" borderId="16" xfId="1" applyNumberFormat="1" applyFont="1" applyFill="1" applyBorder="1" applyAlignment="1" applyProtection="1">
      <alignment wrapText="1"/>
      <protection locked="0"/>
    </xf>
    <xf numFmtId="164" fontId="2" fillId="16" borderId="17" xfId="1" applyNumberFormat="1" applyFont="1" applyFill="1" applyBorder="1" applyAlignment="1" applyProtection="1">
      <alignment wrapText="1"/>
      <protection locked="0"/>
    </xf>
    <xf numFmtId="164" fontId="15" fillId="16" borderId="48" xfId="1" quotePrefix="1" applyNumberFormat="1" applyFont="1" applyFill="1" applyBorder="1" applyAlignment="1" applyProtection="1">
      <alignment horizontal="center" vertical="center" wrapText="1"/>
      <protection locked="0"/>
    </xf>
    <xf numFmtId="164" fontId="15" fillId="16" borderId="48" xfId="1" applyNumberFormat="1" applyFont="1" applyFill="1" applyBorder="1" applyAlignment="1">
      <alignment vertical="center" wrapText="1"/>
    </xf>
    <xf numFmtId="164" fontId="15" fillId="16" borderId="49" xfId="1" applyNumberFormat="1" applyFont="1" applyFill="1" applyBorder="1" applyAlignment="1">
      <alignment vertical="center" wrapText="1"/>
    </xf>
    <xf numFmtId="164" fontId="15" fillId="16" borderId="53" xfId="1" applyNumberFormat="1" applyFont="1" applyFill="1" applyBorder="1" applyAlignment="1">
      <alignment vertical="center" wrapText="1"/>
    </xf>
    <xf numFmtId="164" fontId="2" fillId="16" borderId="54" xfId="1" applyNumberFormat="1" applyFont="1" applyFill="1" applyBorder="1" applyAlignment="1" applyProtection="1">
      <alignment wrapText="1"/>
      <protection locked="0"/>
    </xf>
    <xf numFmtId="164" fontId="2" fillId="16" borderId="50" xfId="1" applyNumberFormat="1" applyFont="1" applyFill="1" applyBorder="1" applyAlignment="1" applyProtection="1">
      <alignment wrapText="1"/>
      <protection locked="0"/>
    </xf>
    <xf numFmtId="164" fontId="2" fillId="16" borderId="53" xfId="1" applyNumberFormat="1" applyFont="1" applyFill="1" applyBorder="1" applyAlignment="1" applyProtection="1">
      <alignment wrapText="1"/>
      <protection locked="0"/>
    </xf>
    <xf numFmtId="164" fontId="7" fillId="5" borderId="64" xfId="1" applyNumberFormat="1" applyFont="1" applyFill="1" applyBorder="1" applyAlignment="1">
      <alignment vertical="center" wrapText="1"/>
    </xf>
    <xf numFmtId="0" fontId="7" fillId="0" borderId="0" xfId="2" applyFont="1"/>
    <xf numFmtId="3" fontId="40" fillId="0" borderId="0" xfId="3" applyNumberFormat="1" applyFont="1" applyAlignment="1">
      <alignment horizontal="center"/>
    </xf>
    <xf numFmtId="3" fontId="40" fillId="0" borderId="0" xfId="3" applyNumberFormat="1" applyFont="1"/>
    <xf numFmtId="0" fontId="7" fillId="0" borderId="0" xfId="2" applyFont="1" applyAlignment="1">
      <alignment vertical="center"/>
    </xf>
    <xf numFmtId="3" fontId="41" fillId="0" borderId="0" xfId="3" applyNumberFormat="1" applyFont="1" applyAlignment="1">
      <alignment wrapText="1"/>
    </xf>
    <xf numFmtId="3" fontId="41" fillId="0" borderId="0" xfId="3" applyNumberFormat="1" applyFont="1" applyAlignment="1">
      <alignment vertical="center" wrapText="1"/>
    </xf>
    <xf numFmtId="3" fontId="40" fillId="0" borderId="35" xfId="3" quotePrefix="1" applyNumberFormat="1" applyFont="1" applyBorder="1" applyAlignment="1">
      <alignment horizontal="center"/>
    </xf>
    <xf numFmtId="3" fontId="41" fillId="0" borderId="0" xfId="3" applyNumberFormat="1" applyFont="1" applyAlignment="1">
      <alignment vertical="center"/>
    </xf>
    <xf numFmtId="3" fontId="7" fillId="0" borderId="0" xfId="3" applyNumberFormat="1" applyFont="1" applyAlignment="1">
      <alignment horizontal="center"/>
    </xf>
    <xf numFmtId="3" fontId="42" fillId="0" borderId="0" xfId="3" applyNumberFormat="1" applyFont="1" applyAlignment="1">
      <alignment horizontal="center" vertical="center"/>
    </xf>
    <xf numFmtId="3" fontId="42" fillId="0" borderId="0" xfId="3" quotePrefix="1" applyNumberFormat="1" applyFont="1" applyAlignment="1">
      <alignment horizontal="right"/>
    </xf>
    <xf numFmtId="3" fontId="40" fillId="0" borderId="4" xfId="3" applyNumberFormat="1" applyFont="1" applyBorder="1" applyAlignment="1">
      <alignment horizontal="left"/>
    </xf>
    <xf numFmtId="3" fontId="40" fillId="0" borderId="5" xfId="3" applyNumberFormat="1" applyFont="1" applyBorder="1" applyAlignment="1">
      <alignment horizontal="center"/>
    </xf>
    <xf numFmtId="3" fontId="40" fillId="0" borderId="45" xfId="3" applyNumberFormat="1" applyFont="1" applyBorder="1"/>
    <xf numFmtId="3" fontId="40" fillId="0" borderId="46" xfId="3" applyNumberFormat="1" applyFont="1" applyBorder="1" applyAlignment="1">
      <alignment horizontal="center"/>
    </xf>
    <xf numFmtId="3" fontId="40" fillId="0" borderId="47" xfId="3" applyNumberFormat="1" applyFont="1" applyBorder="1" applyAlignment="1">
      <alignment horizontal="center"/>
    </xf>
    <xf numFmtId="3" fontId="40" fillId="0" borderId="38" xfId="3" applyNumberFormat="1" applyFont="1" applyBorder="1"/>
    <xf numFmtId="3" fontId="40" fillId="0" borderId="39" xfId="3" applyNumberFormat="1" applyFont="1" applyBorder="1" applyAlignment="1">
      <alignment horizontal="center"/>
    </xf>
    <xf numFmtId="3" fontId="40" fillId="0" borderId="39" xfId="3" quotePrefix="1" applyNumberFormat="1" applyFont="1" applyBorder="1" applyAlignment="1">
      <alignment horizontal="center"/>
    </xf>
    <xf numFmtId="3" fontId="40" fillId="0" borderId="34" xfId="3" applyNumberFormat="1" applyFont="1" applyBorder="1" applyAlignment="1">
      <alignment horizontal="center"/>
    </xf>
    <xf numFmtId="3" fontId="40" fillId="0" borderId="35" xfId="3" applyNumberFormat="1" applyFont="1" applyBorder="1" applyAlignment="1">
      <alignment horizontal="center"/>
    </xf>
    <xf numFmtId="3" fontId="40" fillId="0" borderId="41" xfId="3" applyNumberFormat="1" applyFont="1" applyBorder="1" applyAlignment="1">
      <alignment horizontal="center"/>
    </xf>
    <xf numFmtId="3" fontId="40" fillId="0" borderId="33" xfId="3" applyNumberFormat="1" applyFont="1" applyBorder="1" applyAlignment="1">
      <alignment horizontal="center"/>
    </xf>
    <xf numFmtId="3" fontId="40" fillId="0" borderId="42" xfId="3" applyNumberFormat="1" applyFont="1" applyBorder="1" applyAlignment="1">
      <alignment horizontal="center"/>
    </xf>
    <xf numFmtId="3" fontId="40" fillId="0" borderId="37" xfId="3" applyNumberFormat="1" applyFont="1" applyBorder="1" applyAlignment="1">
      <alignment horizontal="center"/>
    </xf>
    <xf numFmtId="3" fontId="40" fillId="0" borderId="34" xfId="3" applyNumberFormat="1" applyFont="1" applyBorder="1"/>
    <xf numFmtId="3" fontId="40" fillId="0" borderId="35" xfId="3" applyNumberFormat="1" applyFont="1" applyBorder="1"/>
    <xf numFmtId="3" fontId="40" fillId="0" borderId="41" xfId="3" applyNumberFormat="1" applyFont="1" applyBorder="1"/>
    <xf numFmtId="3" fontId="40" fillId="0" borderId="33" xfId="3" applyNumberFormat="1" applyFont="1" applyBorder="1"/>
    <xf numFmtId="3" fontId="40" fillId="0" borderId="42" xfId="3" applyNumberFormat="1" applyFont="1" applyBorder="1"/>
    <xf numFmtId="3" fontId="40" fillId="0" borderId="37" xfId="3" applyNumberFormat="1" applyFont="1" applyBorder="1"/>
    <xf numFmtId="164" fontId="42" fillId="0" borderId="46" xfId="3" applyNumberFormat="1" applyFont="1" applyBorder="1" applyAlignment="1">
      <alignment horizontal="center"/>
    </xf>
    <xf numFmtId="165" fontId="42" fillId="0" borderId="46" xfId="3" applyNumberFormat="1" applyFont="1" applyBorder="1" applyAlignment="1">
      <alignment horizontal="right" vertical="center"/>
    </xf>
    <xf numFmtId="165" fontId="42" fillId="0" borderId="47" xfId="3" applyNumberFormat="1" applyFont="1" applyBorder="1" applyAlignment="1">
      <alignment horizontal="right" vertical="center"/>
    </xf>
    <xf numFmtId="165" fontId="42" fillId="0" borderId="43" xfId="3" applyNumberFormat="1" applyFont="1" applyBorder="1" applyAlignment="1">
      <alignment horizontal="right" vertical="center"/>
    </xf>
    <xf numFmtId="165" fontId="42" fillId="0" borderId="62" xfId="3" applyNumberFormat="1" applyFont="1" applyBorder="1" applyAlignment="1">
      <alignment horizontal="right" vertical="center"/>
    </xf>
    <xf numFmtId="165" fontId="42" fillId="0" borderId="63" xfId="3" applyNumberFormat="1" applyFont="1" applyBorder="1" applyAlignment="1">
      <alignment horizontal="right" vertical="center"/>
    </xf>
    <xf numFmtId="164" fontId="7" fillId="0" borderId="12" xfId="3" applyNumberFormat="1" applyFont="1" applyBorder="1" applyAlignment="1">
      <alignment horizontal="center"/>
    </xf>
    <xf numFmtId="165" fontId="7" fillId="0" borderId="12" xfId="3" applyNumberFormat="1" applyFont="1" applyBorder="1"/>
    <xf numFmtId="165" fontId="7" fillId="0" borderId="75" xfId="3" applyNumberFormat="1" applyFont="1" applyBorder="1"/>
    <xf numFmtId="165" fontId="7" fillId="0" borderId="14" xfId="3" applyNumberFormat="1" applyFont="1" applyBorder="1"/>
    <xf numFmtId="165" fontId="7" fillId="0" borderId="76" xfId="3" applyNumberFormat="1" applyFont="1" applyBorder="1"/>
    <xf numFmtId="165" fontId="7" fillId="0" borderId="13" xfId="3" applyNumberFormat="1" applyFont="1" applyBorder="1"/>
    <xf numFmtId="164" fontId="42" fillId="22" borderId="45" xfId="3" applyNumberFormat="1" applyFont="1" applyFill="1" applyBorder="1"/>
    <xf numFmtId="164" fontId="40" fillId="0" borderId="46" xfId="3" applyNumberFormat="1" applyFont="1" applyBorder="1" applyAlignment="1">
      <alignment horizontal="center"/>
    </xf>
    <xf numFmtId="165" fontId="44" fillId="0" borderId="46" xfId="3" applyNumberFormat="1" applyFont="1" applyBorder="1"/>
    <xf numFmtId="165" fontId="44" fillId="0" borderId="47" xfId="3" applyNumberFormat="1" applyFont="1" applyBorder="1"/>
    <xf numFmtId="165" fontId="44" fillId="0" borderId="57" xfId="3" applyNumberFormat="1" applyFont="1" applyBorder="1"/>
    <xf numFmtId="165" fontId="44" fillId="0" borderId="62" xfId="3" applyNumberFormat="1" applyFont="1" applyBorder="1"/>
    <xf numFmtId="165" fontId="44" fillId="0" borderId="63" xfId="3" applyNumberFormat="1" applyFont="1" applyBorder="1"/>
    <xf numFmtId="164" fontId="40" fillId="22" borderId="45" xfId="3" applyNumberFormat="1" applyFont="1" applyFill="1" applyBorder="1"/>
    <xf numFmtId="164" fontId="40" fillId="22" borderId="39" xfId="3" applyNumberFormat="1" applyFont="1" applyFill="1" applyBorder="1" applyAlignment="1">
      <alignment horizontal="center"/>
    </xf>
    <xf numFmtId="165" fontId="44" fillId="22" borderId="46" xfId="3" applyNumberFormat="1" applyFont="1" applyFill="1" applyBorder="1"/>
    <xf numFmtId="165" fontId="44" fillId="22" borderId="47" xfId="3" applyNumberFormat="1" applyFont="1" applyFill="1" applyBorder="1"/>
    <xf numFmtId="165" fontId="44" fillId="22" borderId="57" xfId="3" applyNumberFormat="1" applyFont="1" applyFill="1" applyBorder="1"/>
    <xf numFmtId="165" fontId="44" fillId="22" borderId="62" xfId="3" applyNumberFormat="1" applyFont="1" applyFill="1" applyBorder="1"/>
    <xf numFmtId="165" fontId="44" fillId="22" borderId="63" xfId="3" applyNumberFormat="1" applyFont="1" applyFill="1" applyBorder="1"/>
    <xf numFmtId="165" fontId="44" fillId="0" borderId="16" xfId="3" applyNumberFormat="1" applyFont="1" applyBorder="1"/>
    <xf numFmtId="165" fontId="44" fillId="0" borderId="18" xfId="3" applyNumberFormat="1" applyFont="1" applyBorder="1"/>
    <xf numFmtId="165" fontId="44" fillId="0" borderId="43" xfId="3" applyNumberFormat="1" applyFont="1" applyBorder="1"/>
    <xf numFmtId="165" fontId="44" fillId="0" borderId="15" xfId="3" applyNumberFormat="1" applyFont="1" applyBorder="1"/>
    <xf numFmtId="165" fontId="44" fillId="0" borderId="17" xfId="3" applyNumberFormat="1" applyFont="1" applyBorder="1"/>
    <xf numFmtId="164" fontId="40" fillId="22" borderId="12" xfId="3" applyNumberFormat="1" applyFont="1" applyFill="1" applyBorder="1" applyAlignment="1">
      <alignment horizontal="center"/>
    </xf>
    <xf numFmtId="165" fontId="44" fillId="22" borderId="12" xfId="3" applyNumberFormat="1" applyFont="1" applyFill="1" applyBorder="1"/>
    <xf numFmtId="165" fontId="44" fillId="22" borderId="75" xfId="3" applyNumberFormat="1" applyFont="1" applyFill="1" applyBorder="1"/>
    <xf numFmtId="165" fontId="44" fillId="22" borderId="14" xfId="3" applyNumberFormat="1" applyFont="1" applyFill="1" applyBorder="1"/>
    <xf numFmtId="165" fontId="44" fillId="22" borderId="76" xfId="3" applyNumberFormat="1" applyFont="1" applyFill="1" applyBorder="1"/>
    <xf numFmtId="165" fontId="44" fillId="22" borderId="13" xfId="3" applyNumberFormat="1" applyFont="1" applyFill="1" applyBorder="1"/>
    <xf numFmtId="164" fontId="7" fillId="2" borderId="45" xfId="3" applyNumberFormat="1" applyFont="1" applyFill="1" applyBorder="1"/>
    <xf numFmtId="164" fontId="40" fillId="2" borderId="38" xfId="3" applyNumberFormat="1" applyFont="1" applyFill="1" applyBorder="1"/>
    <xf numFmtId="164" fontId="40" fillId="2" borderId="46" xfId="3" applyNumberFormat="1" applyFont="1" applyFill="1" applyBorder="1" applyAlignment="1">
      <alignment horizontal="center"/>
    </xf>
    <xf numFmtId="165" fontId="44" fillId="2" borderId="46" xfId="3" applyNumberFormat="1" applyFont="1" applyFill="1" applyBorder="1"/>
    <xf numFmtId="165" fontId="44" fillId="2" borderId="47" xfId="3" applyNumberFormat="1" applyFont="1" applyFill="1" applyBorder="1"/>
    <xf numFmtId="165" fontId="44" fillId="2" borderId="57" xfId="3" applyNumberFormat="1" applyFont="1" applyFill="1" applyBorder="1"/>
    <xf numFmtId="165" fontId="44" fillId="2" borderId="62" xfId="3" applyNumberFormat="1" applyFont="1" applyFill="1" applyBorder="1"/>
    <xf numFmtId="165" fontId="44" fillId="2" borderId="63" xfId="3" applyNumberFormat="1" applyFont="1" applyFill="1" applyBorder="1"/>
    <xf numFmtId="164" fontId="45" fillId="2" borderId="19" xfId="3" applyNumberFormat="1" applyFont="1" applyFill="1" applyBorder="1"/>
    <xf numFmtId="164" fontId="40" fillId="0" borderId="16" xfId="3" applyNumberFormat="1" applyFont="1" applyBorder="1" applyAlignment="1">
      <alignment horizontal="center"/>
    </xf>
    <xf numFmtId="164" fontId="40" fillId="2" borderId="39" xfId="3" applyNumberFormat="1" applyFont="1" applyFill="1" applyBorder="1" applyAlignment="1">
      <alignment horizontal="center"/>
    </xf>
    <xf numFmtId="165" fontId="44" fillId="2" borderId="39" xfId="3" applyNumberFormat="1" applyFont="1" applyFill="1" applyBorder="1"/>
    <xf numFmtId="165" fontId="44" fillId="2" borderId="61" xfId="3" applyNumberFormat="1" applyFont="1" applyFill="1" applyBorder="1"/>
    <xf numFmtId="165" fontId="44" fillId="2" borderId="55" xfId="3" applyNumberFormat="1" applyFont="1" applyFill="1" applyBorder="1"/>
    <xf numFmtId="165" fontId="44" fillId="2" borderId="60" xfId="3" applyNumberFormat="1" applyFont="1" applyFill="1" applyBorder="1"/>
    <xf numFmtId="165" fontId="44" fillId="2" borderId="40" xfId="3" applyNumberFormat="1" applyFont="1" applyFill="1" applyBorder="1"/>
    <xf numFmtId="165" fontId="40" fillId="0" borderId="16" xfId="3" applyNumberFormat="1" applyFont="1" applyBorder="1" applyAlignment="1">
      <alignment horizontal="right" vertical="center"/>
    </xf>
    <xf numFmtId="165" fontId="40" fillId="0" borderId="18" xfId="3" applyNumberFormat="1" applyFont="1" applyBorder="1" applyAlignment="1">
      <alignment horizontal="right" vertical="center"/>
    </xf>
    <xf numFmtId="165" fontId="40" fillId="0" borderId="43" xfId="3" applyNumberFormat="1" applyFont="1" applyBorder="1" applyAlignment="1">
      <alignment horizontal="right" vertical="center"/>
    </xf>
    <xf numFmtId="165" fontId="40" fillId="0" borderId="15" xfId="3" applyNumberFormat="1" applyFont="1" applyBorder="1" applyAlignment="1">
      <alignment horizontal="right" vertical="center"/>
    </xf>
    <xf numFmtId="165" fontId="40" fillId="0" borderId="17" xfId="3" applyNumberFormat="1" applyFont="1" applyBorder="1" applyAlignment="1">
      <alignment horizontal="right" vertical="center"/>
    </xf>
    <xf numFmtId="164" fontId="40" fillId="23" borderId="39" xfId="3" applyNumberFormat="1" applyFont="1" applyFill="1" applyBorder="1" applyAlignment="1">
      <alignment horizontal="center"/>
    </xf>
    <xf numFmtId="165" fontId="40" fillId="23" borderId="39" xfId="3" applyNumberFormat="1" applyFont="1" applyFill="1" applyBorder="1"/>
    <xf numFmtId="165" fontId="40" fillId="23" borderId="61" xfId="3" applyNumberFormat="1" applyFont="1" applyFill="1" applyBorder="1"/>
    <xf numFmtId="165" fontId="40" fillId="23" borderId="55" xfId="3" applyNumberFormat="1" applyFont="1" applyFill="1" applyBorder="1"/>
    <xf numFmtId="165" fontId="40" fillId="23" borderId="60" xfId="3" applyNumberFormat="1" applyFont="1" applyFill="1" applyBorder="1"/>
    <xf numFmtId="165" fontId="40" fillId="23" borderId="40" xfId="3" applyNumberFormat="1" applyFont="1" applyFill="1" applyBorder="1"/>
    <xf numFmtId="165" fontId="40" fillId="0" borderId="46" xfId="3" applyNumberFormat="1" applyFont="1" applyBorder="1" applyAlignment="1">
      <alignment horizontal="right" vertical="center"/>
    </xf>
    <xf numFmtId="165" fontId="40" fillId="0" borderId="47" xfId="3" applyNumberFormat="1" applyFont="1" applyBorder="1" applyAlignment="1">
      <alignment horizontal="right" vertical="center"/>
    </xf>
    <xf numFmtId="165" fontId="40" fillId="0" borderId="57" xfId="3" applyNumberFormat="1" applyFont="1" applyBorder="1" applyAlignment="1">
      <alignment horizontal="right" vertical="center"/>
    </xf>
    <xf numFmtId="165" fontId="40" fillId="0" borderId="62" xfId="3" applyNumberFormat="1" applyFont="1" applyBorder="1" applyAlignment="1">
      <alignment horizontal="right" vertical="center"/>
    </xf>
    <xf numFmtId="165" fontId="40" fillId="0" borderId="63" xfId="3" applyNumberFormat="1" applyFont="1" applyBorder="1" applyAlignment="1">
      <alignment horizontal="right" vertical="center"/>
    </xf>
    <xf numFmtId="164" fontId="40" fillId="19" borderId="12" xfId="3" applyNumberFormat="1" applyFont="1" applyFill="1" applyBorder="1" applyAlignment="1">
      <alignment horizontal="center"/>
    </xf>
    <xf numFmtId="165" fontId="40" fillId="19" borderId="12" xfId="3" applyNumberFormat="1" applyFont="1" applyFill="1" applyBorder="1"/>
    <xf numFmtId="165" fontId="40" fillId="19" borderId="75" xfId="3" applyNumberFormat="1" applyFont="1" applyFill="1" applyBorder="1"/>
    <xf numFmtId="165" fontId="40" fillId="19" borderId="14" xfId="3" applyNumberFormat="1" applyFont="1" applyFill="1" applyBorder="1"/>
    <xf numFmtId="165" fontId="40" fillId="19" borderId="76" xfId="3" applyNumberFormat="1" applyFont="1" applyFill="1" applyBorder="1"/>
    <xf numFmtId="165" fontId="40" fillId="19" borderId="13" xfId="3" applyNumberFormat="1" applyFont="1" applyFill="1" applyBorder="1"/>
    <xf numFmtId="3" fontId="40" fillId="0" borderId="0" xfId="3" applyNumberFormat="1" applyFont="1" applyAlignment="1">
      <alignment vertical="center"/>
    </xf>
    <xf numFmtId="165" fontId="42" fillId="0" borderId="16" xfId="3" applyNumberFormat="1" applyFont="1" applyBorder="1" applyAlignment="1">
      <alignment horizontal="right" vertical="center"/>
    </xf>
    <xf numFmtId="165" fontId="42" fillId="0" borderId="18" xfId="3" applyNumberFormat="1" applyFont="1" applyBorder="1" applyAlignment="1">
      <alignment horizontal="right" vertical="center"/>
    </xf>
    <xf numFmtId="165" fontId="42" fillId="0" borderId="15" xfId="3" applyNumberFormat="1" applyFont="1" applyBorder="1" applyAlignment="1">
      <alignment horizontal="right" vertical="center"/>
    </xf>
    <xf numFmtId="165" fontId="42" fillId="0" borderId="17" xfId="3" applyNumberFormat="1" applyFont="1" applyBorder="1" applyAlignment="1">
      <alignment horizontal="right" vertical="center"/>
    </xf>
    <xf numFmtId="164" fontId="40" fillId="0" borderId="12" xfId="3" applyNumberFormat="1" applyFont="1" applyBorder="1" applyAlignment="1">
      <alignment horizontal="center"/>
    </xf>
    <xf numFmtId="165" fontId="42" fillId="0" borderId="12" xfId="3" applyNumberFormat="1" applyFont="1" applyBorder="1" applyAlignment="1">
      <alignment horizontal="right" vertical="center"/>
    </xf>
    <xf numFmtId="165" fontId="42" fillId="0" borderId="75" xfId="3" applyNumberFormat="1" applyFont="1" applyBorder="1" applyAlignment="1">
      <alignment horizontal="right" vertical="center"/>
    </xf>
    <xf numFmtId="165" fontId="42" fillId="0" borderId="14" xfId="3" applyNumberFormat="1" applyFont="1" applyBorder="1" applyAlignment="1">
      <alignment horizontal="right" vertical="center"/>
    </xf>
    <xf numFmtId="165" fontId="42" fillId="0" borderId="76" xfId="3" applyNumberFormat="1" applyFont="1" applyBorder="1" applyAlignment="1">
      <alignment horizontal="right" vertical="center"/>
    </xf>
    <xf numFmtId="165" fontId="42" fillId="0" borderId="13" xfId="3" applyNumberFormat="1" applyFont="1" applyBorder="1" applyAlignment="1">
      <alignment horizontal="right" vertical="center"/>
    </xf>
    <xf numFmtId="165" fontId="44" fillId="0" borderId="46" xfId="3" applyNumberFormat="1" applyFont="1" applyBorder="1" applyAlignment="1">
      <alignment horizontal="right" vertical="center"/>
    </xf>
    <xf numFmtId="165" fontId="44" fillId="0" borderId="47" xfId="3" applyNumberFormat="1" applyFont="1" applyBorder="1" applyAlignment="1">
      <alignment horizontal="right" vertical="center"/>
    </xf>
    <xf numFmtId="165" fontId="44" fillId="0" borderId="57" xfId="3" applyNumberFormat="1" applyFont="1" applyBorder="1" applyAlignment="1">
      <alignment horizontal="right" vertical="center"/>
    </xf>
    <xf numFmtId="165" fontId="44" fillId="0" borderId="62" xfId="3" applyNumberFormat="1" applyFont="1" applyBorder="1" applyAlignment="1">
      <alignment horizontal="right" vertical="center"/>
    </xf>
    <xf numFmtId="165" fontId="44" fillId="0" borderId="63" xfId="3" applyNumberFormat="1" applyFont="1" applyBorder="1" applyAlignment="1">
      <alignment horizontal="right" vertical="center"/>
    </xf>
    <xf numFmtId="165" fontId="44" fillId="22" borderId="39" xfId="3" applyNumberFormat="1" applyFont="1" applyFill="1" applyBorder="1" applyAlignment="1">
      <alignment horizontal="right" vertical="center"/>
    </xf>
    <xf numFmtId="165" fontId="44" fillId="22" borderId="61" xfId="3" applyNumberFormat="1" applyFont="1" applyFill="1" applyBorder="1" applyAlignment="1">
      <alignment horizontal="right" vertical="center"/>
    </xf>
    <xf numFmtId="165" fontId="44" fillId="22" borderId="55" xfId="3" applyNumberFormat="1" applyFont="1" applyFill="1" applyBorder="1" applyAlignment="1">
      <alignment horizontal="right" vertical="center"/>
    </xf>
    <xf numFmtId="165" fontId="44" fillId="22" borderId="60" xfId="3" applyNumberFormat="1" applyFont="1" applyFill="1" applyBorder="1" applyAlignment="1">
      <alignment horizontal="right" vertical="center"/>
    </xf>
    <xf numFmtId="165" fontId="44" fillId="22" borderId="40" xfId="3" applyNumberFormat="1" applyFont="1" applyFill="1" applyBorder="1" applyAlignment="1">
      <alignment horizontal="right" vertical="center"/>
    </xf>
    <xf numFmtId="165" fontId="44" fillId="0" borderId="58" xfId="3" applyNumberFormat="1" applyFont="1" applyBorder="1" applyAlignment="1">
      <alignment horizontal="right" vertical="center"/>
    </xf>
    <xf numFmtId="164" fontId="40" fillId="0" borderId="19" xfId="3" applyNumberFormat="1" applyFont="1" applyBorder="1" applyAlignment="1">
      <alignment horizontal="left" vertical="center"/>
    </xf>
    <xf numFmtId="165" fontId="40" fillId="0" borderId="44" xfId="3" applyNumberFormat="1" applyFont="1" applyBorder="1" applyAlignment="1">
      <alignment horizontal="right" vertical="center"/>
    </xf>
    <xf numFmtId="164" fontId="40" fillId="0" borderId="38" xfId="3" applyNumberFormat="1" applyFont="1" applyBorder="1" applyAlignment="1">
      <alignment horizontal="left" vertical="center"/>
    </xf>
    <xf numFmtId="165" fontId="40" fillId="22" borderId="46" xfId="3" applyNumberFormat="1" applyFont="1" applyFill="1" applyBorder="1" applyAlignment="1">
      <alignment horizontal="right" vertical="center"/>
    </xf>
    <xf numFmtId="165" fontId="40" fillId="22" borderId="47" xfId="3" applyNumberFormat="1" applyFont="1" applyFill="1" applyBorder="1" applyAlignment="1">
      <alignment horizontal="right" vertical="center"/>
    </xf>
    <xf numFmtId="165" fontId="40" fillId="22" borderId="57" xfId="3" applyNumberFormat="1" applyFont="1" applyFill="1" applyBorder="1" applyAlignment="1">
      <alignment horizontal="right" vertical="center"/>
    </xf>
    <xf numFmtId="165" fontId="40" fillId="22" borderId="62" xfId="3" applyNumberFormat="1" applyFont="1" applyFill="1" applyBorder="1" applyAlignment="1">
      <alignment horizontal="right" vertical="center"/>
    </xf>
    <xf numFmtId="165" fontId="40" fillId="22" borderId="58" xfId="3" applyNumberFormat="1" applyFont="1" applyFill="1" applyBorder="1" applyAlignment="1">
      <alignment horizontal="right" vertical="center"/>
    </xf>
    <xf numFmtId="164" fontId="40" fillId="0" borderId="11" xfId="3" applyNumberFormat="1" applyFont="1" applyBorder="1" applyAlignment="1">
      <alignment horizontal="left" vertical="center"/>
    </xf>
    <xf numFmtId="165" fontId="40" fillId="22" borderId="12" xfId="3" applyNumberFormat="1" applyFont="1" applyFill="1" applyBorder="1" applyAlignment="1">
      <alignment horizontal="right" vertical="center"/>
    </xf>
    <xf numFmtId="165" fontId="40" fillId="22" borderId="75" xfId="3" applyNumberFormat="1" applyFont="1" applyFill="1" applyBorder="1" applyAlignment="1">
      <alignment horizontal="right" vertical="center"/>
    </xf>
    <xf numFmtId="165" fontId="40" fillId="22" borderId="14" xfId="3" applyNumberFormat="1" applyFont="1" applyFill="1" applyBorder="1" applyAlignment="1">
      <alignment horizontal="right" vertical="center"/>
    </xf>
    <xf numFmtId="165" fontId="40" fillId="22" borderId="76" xfId="3" applyNumberFormat="1" applyFont="1" applyFill="1" applyBorder="1" applyAlignment="1">
      <alignment horizontal="right" vertical="center"/>
    </xf>
    <xf numFmtId="165" fontId="40" fillId="22" borderId="2" xfId="3" applyNumberFormat="1" applyFont="1" applyFill="1" applyBorder="1" applyAlignment="1">
      <alignment horizontal="right" vertical="center"/>
    </xf>
    <xf numFmtId="165" fontId="44" fillId="2" borderId="46" xfId="3" applyNumberFormat="1" applyFont="1" applyFill="1" applyBorder="1" applyAlignment="1">
      <alignment horizontal="right" vertical="center"/>
    </xf>
    <xf numFmtId="165" fontId="44" fillId="2" borderId="47" xfId="3" applyNumberFormat="1" applyFont="1" applyFill="1" applyBorder="1" applyAlignment="1">
      <alignment horizontal="right" vertical="center"/>
    </xf>
    <xf numFmtId="165" fontId="44" fillId="2" borderId="57" xfId="3" applyNumberFormat="1" applyFont="1" applyFill="1" applyBorder="1" applyAlignment="1">
      <alignment horizontal="right" vertical="center"/>
    </xf>
    <xf numFmtId="165" fontId="44" fillId="2" borderId="62" xfId="3" applyNumberFormat="1" applyFont="1" applyFill="1" applyBorder="1" applyAlignment="1">
      <alignment horizontal="right" vertical="center"/>
    </xf>
    <xf numFmtId="165" fontId="44" fillId="2" borderId="63" xfId="3" applyNumberFormat="1" applyFont="1" applyFill="1" applyBorder="1" applyAlignment="1">
      <alignment horizontal="right" vertical="center"/>
    </xf>
    <xf numFmtId="164" fontId="45" fillId="2" borderId="45" xfId="3" applyNumberFormat="1" applyFont="1" applyFill="1" applyBorder="1"/>
    <xf numFmtId="165" fontId="44" fillId="0" borderId="16" xfId="3" applyNumberFormat="1" applyFont="1" applyBorder="1" applyAlignment="1">
      <alignment horizontal="right" vertical="center"/>
    </xf>
    <xf numFmtId="165" fontId="44" fillId="0" borderId="18" xfId="3" applyNumberFormat="1" applyFont="1" applyBorder="1" applyAlignment="1">
      <alignment horizontal="right" vertical="center"/>
    </xf>
    <xf numFmtId="165" fontId="44" fillId="0" borderId="43" xfId="3" applyNumberFormat="1" applyFont="1" applyBorder="1" applyAlignment="1">
      <alignment horizontal="right" vertical="center"/>
    </xf>
    <xf numFmtId="165" fontId="44" fillId="0" borderId="15" xfId="3" applyNumberFormat="1" applyFont="1" applyBorder="1" applyAlignment="1">
      <alignment horizontal="right" vertical="center"/>
    </xf>
    <xf numFmtId="165" fontId="44" fillId="0" borderId="17" xfId="3" applyNumberFormat="1" applyFont="1" applyBorder="1" applyAlignment="1">
      <alignment horizontal="right" vertical="center"/>
    </xf>
    <xf numFmtId="165" fontId="44" fillId="2" borderId="39" xfId="3" applyNumberFormat="1" applyFont="1" applyFill="1" applyBorder="1" applyAlignment="1">
      <alignment horizontal="right" vertical="center"/>
    </xf>
    <xf numFmtId="165" fontId="44" fillId="2" borderId="61" xfId="3" applyNumberFormat="1" applyFont="1" applyFill="1" applyBorder="1" applyAlignment="1">
      <alignment horizontal="right" vertical="center"/>
    </xf>
    <xf numFmtId="165" fontId="44" fillId="2" borderId="55" xfId="3" applyNumberFormat="1" applyFont="1" applyFill="1" applyBorder="1" applyAlignment="1">
      <alignment horizontal="right" vertical="center"/>
    </xf>
    <xf numFmtId="165" fontId="44" fillId="2" borderId="60" xfId="3" applyNumberFormat="1" applyFont="1" applyFill="1" applyBorder="1" applyAlignment="1">
      <alignment horizontal="right" vertical="center"/>
    </xf>
    <xf numFmtId="165" fontId="44" fillId="2" borderId="40" xfId="3" applyNumberFormat="1" applyFont="1" applyFill="1" applyBorder="1" applyAlignment="1">
      <alignment horizontal="right" vertical="center"/>
    </xf>
    <xf numFmtId="164" fontId="15" fillId="23" borderId="45" xfId="3" applyNumberFormat="1" applyFont="1" applyFill="1" applyBorder="1"/>
    <xf numFmtId="164" fontId="40" fillId="23" borderId="38" xfId="3" applyNumberFormat="1" applyFont="1" applyFill="1" applyBorder="1"/>
    <xf numFmtId="165" fontId="44" fillId="23" borderId="39" xfId="3" applyNumberFormat="1" applyFont="1" applyFill="1" applyBorder="1" applyAlignment="1">
      <alignment horizontal="right" vertical="center"/>
    </xf>
    <xf numFmtId="165" fontId="44" fillId="23" borderId="61" xfId="3" applyNumberFormat="1" applyFont="1" applyFill="1" applyBorder="1" applyAlignment="1">
      <alignment horizontal="right" vertical="center"/>
    </xf>
    <xf numFmtId="165" fontId="44" fillId="23" borderId="55" xfId="3" applyNumberFormat="1" applyFont="1" applyFill="1" applyBorder="1" applyAlignment="1">
      <alignment horizontal="right" vertical="center"/>
    </xf>
    <xf numFmtId="165" fontId="44" fillId="23" borderId="60" xfId="3" applyNumberFormat="1" applyFont="1" applyFill="1" applyBorder="1" applyAlignment="1">
      <alignment horizontal="right" vertical="center"/>
    </xf>
    <xf numFmtId="165" fontId="44" fillId="23" borderId="40" xfId="3" applyNumberFormat="1" applyFont="1" applyFill="1" applyBorder="1" applyAlignment="1">
      <alignment horizontal="right" vertical="center"/>
    </xf>
    <xf numFmtId="164" fontId="40" fillId="0" borderId="35" xfId="3" applyNumberFormat="1" applyFont="1" applyBorder="1" applyAlignment="1">
      <alignment horizontal="center"/>
    </xf>
    <xf numFmtId="165" fontId="40" fillId="0" borderId="35" xfId="3" applyNumberFormat="1" applyFont="1" applyBorder="1" applyAlignment="1">
      <alignment horizontal="right" vertical="center"/>
    </xf>
    <xf numFmtId="165" fontId="40" fillId="0" borderId="41" xfId="3" applyNumberFormat="1" applyFont="1" applyBorder="1" applyAlignment="1">
      <alignment horizontal="right" vertical="center"/>
    </xf>
    <xf numFmtId="165" fontId="40" fillId="0" borderId="33" xfId="3" applyNumberFormat="1" applyFont="1" applyBorder="1" applyAlignment="1">
      <alignment horizontal="right" vertical="center"/>
    </xf>
    <xf numFmtId="165" fontId="40" fillId="0" borderId="42" xfId="3" applyNumberFormat="1" applyFont="1" applyBorder="1" applyAlignment="1">
      <alignment horizontal="right" vertical="center"/>
    </xf>
    <xf numFmtId="165" fontId="40" fillId="0" borderId="36" xfId="3" applyNumberFormat="1" applyFont="1" applyBorder="1" applyAlignment="1">
      <alignment horizontal="right" vertical="center"/>
    </xf>
    <xf numFmtId="164" fontId="40" fillId="23" borderId="35" xfId="3" applyNumberFormat="1" applyFont="1" applyFill="1" applyBorder="1" applyAlignment="1">
      <alignment horizontal="center"/>
    </xf>
    <xf numFmtId="165" fontId="40" fillId="23" borderId="35" xfId="3" applyNumberFormat="1" applyFont="1" applyFill="1" applyBorder="1" applyAlignment="1">
      <alignment horizontal="right" vertical="center"/>
    </xf>
    <xf numFmtId="165" fontId="40" fillId="23" borderId="41" xfId="3" applyNumberFormat="1" applyFont="1" applyFill="1" applyBorder="1" applyAlignment="1">
      <alignment horizontal="right" vertical="center"/>
    </xf>
    <xf numFmtId="165" fontId="40" fillId="23" borderId="33" xfId="3" applyNumberFormat="1" applyFont="1" applyFill="1" applyBorder="1" applyAlignment="1">
      <alignment horizontal="right" vertical="center"/>
    </xf>
    <xf numFmtId="165" fontId="40" fillId="23" borderId="42" xfId="3" applyNumberFormat="1" applyFont="1" applyFill="1" applyBorder="1" applyAlignment="1">
      <alignment horizontal="right" vertical="center"/>
    </xf>
    <xf numFmtId="165" fontId="40" fillId="23" borderId="36" xfId="3" applyNumberFormat="1" applyFont="1" applyFill="1" applyBorder="1" applyAlignment="1">
      <alignment horizontal="right" vertical="center"/>
    </xf>
    <xf numFmtId="164" fontId="40" fillId="23" borderId="16" xfId="3" applyNumberFormat="1" applyFont="1" applyFill="1" applyBorder="1" applyAlignment="1">
      <alignment horizontal="center"/>
    </xf>
    <xf numFmtId="165" fontId="40" fillId="23" borderId="16" xfId="3" applyNumberFormat="1" applyFont="1" applyFill="1" applyBorder="1" applyAlignment="1">
      <alignment horizontal="right" vertical="center"/>
    </xf>
    <xf numFmtId="165" fontId="40" fillId="23" borderId="18" xfId="3" applyNumberFormat="1" applyFont="1" applyFill="1" applyBorder="1" applyAlignment="1">
      <alignment horizontal="right" vertical="center"/>
    </xf>
    <xf numFmtId="165" fontId="40" fillId="23" borderId="43" xfId="3" applyNumberFormat="1" applyFont="1" applyFill="1" applyBorder="1" applyAlignment="1">
      <alignment horizontal="right" vertical="center"/>
    </xf>
    <xf numFmtId="165" fontId="40" fillId="23" borderId="15" xfId="3" applyNumberFormat="1" applyFont="1" applyFill="1" applyBorder="1" applyAlignment="1">
      <alignment horizontal="right" vertical="center"/>
    </xf>
    <xf numFmtId="165" fontId="40" fillId="23" borderId="17" xfId="3" applyNumberFormat="1" applyFont="1" applyFill="1" applyBorder="1" applyAlignment="1">
      <alignment horizontal="right" vertical="center"/>
    </xf>
    <xf numFmtId="164" fontId="46" fillId="0" borderId="28" xfId="3" applyNumberFormat="1" applyFont="1" applyBorder="1" applyAlignment="1">
      <alignment horizontal="center"/>
    </xf>
    <xf numFmtId="165" fontId="46" fillId="0" borderId="28" xfId="3" applyNumberFormat="1" applyFont="1" applyBorder="1" applyAlignment="1">
      <alignment horizontal="right" vertical="center"/>
    </xf>
    <xf numFmtId="165" fontId="46" fillId="0" borderId="29" xfId="3" applyNumberFormat="1" applyFont="1" applyBorder="1" applyAlignment="1">
      <alignment horizontal="right" vertical="center"/>
    </xf>
    <xf numFmtId="165" fontId="46" fillId="0" borderId="30" xfId="3" applyNumberFormat="1" applyFont="1" applyBorder="1" applyAlignment="1">
      <alignment horizontal="right" vertical="center"/>
    </xf>
    <xf numFmtId="165" fontId="46" fillId="0" borderId="31" xfId="3" applyNumberFormat="1" applyFont="1" applyBorder="1" applyAlignment="1">
      <alignment horizontal="right" vertical="center"/>
    </xf>
    <xf numFmtId="165" fontId="46" fillId="0" borderId="32" xfId="3" applyNumberFormat="1" applyFont="1" applyBorder="1" applyAlignment="1">
      <alignment horizontal="right" vertical="center"/>
    </xf>
    <xf numFmtId="164" fontId="46" fillId="23" borderId="35" xfId="3" applyNumberFormat="1" applyFont="1" applyFill="1" applyBorder="1" applyAlignment="1">
      <alignment horizontal="center"/>
    </xf>
    <xf numFmtId="165" fontId="46" fillId="23" borderId="35" xfId="3" applyNumberFormat="1" applyFont="1" applyFill="1" applyBorder="1" applyAlignment="1">
      <alignment horizontal="right" vertical="center"/>
    </xf>
    <xf numFmtId="165" fontId="46" fillId="23" borderId="41" xfId="3" applyNumberFormat="1" applyFont="1" applyFill="1" applyBorder="1" applyAlignment="1">
      <alignment horizontal="right" vertical="center"/>
    </xf>
    <xf numFmtId="165" fontId="46" fillId="23" borderId="33" xfId="3" applyNumberFormat="1" applyFont="1" applyFill="1" applyBorder="1" applyAlignment="1">
      <alignment horizontal="right" vertical="center"/>
    </xf>
    <xf numFmtId="165" fontId="46" fillId="23" borderId="42" xfId="3" applyNumberFormat="1" applyFont="1" applyFill="1" applyBorder="1" applyAlignment="1">
      <alignment horizontal="right" vertical="center"/>
    </xf>
    <xf numFmtId="165" fontId="46" fillId="23" borderId="36" xfId="3" applyNumberFormat="1" applyFont="1" applyFill="1" applyBorder="1" applyAlignment="1">
      <alignment horizontal="right" vertical="center"/>
    </xf>
    <xf numFmtId="164" fontId="15" fillId="19" borderId="45" xfId="3" applyNumberFormat="1" applyFont="1" applyFill="1" applyBorder="1"/>
    <xf numFmtId="164" fontId="15" fillId="19" borderId="38" xfId="3" applyNumberFormat="1" applyFont="1" applyFill="1" applyBorder="1"/>
    <xf numFmtId="164" fontId="40" fillId="19" borderId="39" xfId="3" applyNumberFormat="1" applyFont="1" applyFill="1" applyBorder="1" applyAlignment="1">
      <alignment horizontal="center"/>
    </xf>
    <xf numFmtId="165" fontId="44" fillId="19" borderId="39" xfId="3" applyNumberFormat="1" applyFont="1" applyFill="1" applyBorder="1" applyAlignment="1">
      <alignment horizontal="right" vertical="center"/>
    </xf>
    <xf numFmtId="165" fontId="44" fillId="19" borderId="61" xfId="3" applyNumberFormat="1" applyFont="1" applyFill="1" applyBorder="1" applyAlignment="1">
      <alignment horizontal="right" vertical="center"/>
    </xf>
    <xf numFmtId="165" fontId="44" fillId="19" borderId="55" xfId="3" applyNumberFormat="1" applyFont="1" applyFill="1" applyBorder="1" applyAlignment="1">
      <alignment horizontal="right" vertical="center"/>
    </xf>
    <xf numFmtId="165" fontId="44" fillId="19" borderId="60" xfId="3" applyNumberFormat="1" applyFont="1" applyFill="1" applyBorder="1" applyAlignment="1">
      <alignment horizontal="right" vertical="center"/>
    </xf>
    <xf numFmtId="165" fontId="44" fillId="19" borderId="40" xfId="3" applyNumberFormat="1" applyFont="1" applyFill="1" applyBorder="1" applyAlignment="1">
      <alignment horizontal="right" vertical="center"/>
    </xf>
    <xf numFmtId="164" fontId="40" fillId="0" borderId="19" xfId="4" applyNumberFormat="1" applyFont="1" applyBorder="1" applyAlignment="1">
      <alignment vertical="center" wrapText="1"/>
    </xf>
    <xf numFmtId="164" fontId="40" fillId="0" borderId="38" xfId="4" applyNumberFormat="1" applyFont="1" applyBorder="1" applyAlignment="1">
      <alignment horizontal="left" vertical="center" wrapText="1"/>
    </xf>
    <xf numFmtId="164" fontId="40" fillId="19" borderId="35" xfId="3" applyNumberFormat="1" applyFont="1" applyFill="1" applyBorder="1" applyAlignment="1">
      <alignment horizontal="center"/>
    </xf>
    <xf numFmtId="165" fontId="40" fillId="19" borderId="35" xfId="3" applyNumberFormat="1" applyFont="1" applyFill="1" applyBorder="1" applyAlignment="1">
      <alignment horizontal="right" vertical="center"/>
    </xf>
    <xf numFmtId="165" fontId="40" fillId="19" borderId="41" xfId="3" applyNumberFormat="1" applyFont="1" applyFill="1" applyBorder="1" applyAlignment="1">
      <alignment horizontal="right" vertical="center"/>
    </xf>
    <xf numFmtId="165" fontId="40" fillId="19" borderId="33" xfId="3" applyNumberFormat="1" applyFont="1" applyFill="1" applyBorder="1" applyAlignment="1">
      <alignment horizontal="right" vertical="center"/>
    </xf>
    <xf numFmtId="165" fontId="40" fillId="19" borderId="42" xfId="3" applyNumberFormat="1" applyFont="1" applyFill="1" applyBorder="1" applyAlignment="1">
      <alignment horizontal="right" vertical="center"/>
    </xf>
    <xf numFmtId="165" fontId="40" fillId="19" borderId="36" xfId="3" applyNumberFormat="1" applyFont="1" applyFill="1" applyBorder="1" applyAlignment="1">
      <alignment horizontal="right" vertical="center"/>
    </xf>
    <xf numFmtId="164" fontId="7" fillId="21" borderId="70" xfId="3" applyNumberFormat="1" applyFont="1" applyFill="1" applyBorder="1" applyAlignment="1">
      <alignment vertical="center"/>
    </xf>
    <xf numFmtId="164" fontId="7" fillId="21" borderId="68" xfId="3" applyNumberFormat="1" applyFont="1" applyFill="1" applyBorder="1" applyAlignment="1">
      <alignment vertical="center"/>
    </xf>
    <xf numFmtId="165" fontId="7" fillId="21" borderId="68" xfId="3" applyNumberFormat="1" applyFont="1" applyFill="1" applyBorder="1" applyAlignment="1">
      <alignment vertical="center"/>
    </xf>
    <xf numFmtId="165" fontId="7" fillId="21" borderId="37" xfId="3" applyNumberFormat="1" applyFont="1" applyFill="1" applyBorder="1" applyAlignment="1">
      <alignment vertical="center"/>
    </xf>
    <xf numFmtId="165" fontId="42" fillId="0" borderId="12" xfId="3" applyNumberFormat="1" applyFont="1" applyBorder="1" applyAlignment="1">
      <alignment horizontal="right"/>
    </xf>
    <xf numFmtId="165" fontId="42" fillId="0" borderId="75" xfId="3" applyNumberFormat="1" applyFont="1" applyBorder="1" applyAlignment="1">
      <alignment horizontal="right"/>
    </xf>
    <xf numFmtId="165" fontId="42" fillId="0" borderId="14" xfId="3" applyNumberFormat="1" applyFont="1" applyBorder="1" applyAlignment="1">
      <alignment horizontal="right"/>
    </xf>
    <xf numFmtId="165" fontId="42" fillId="0" borderId="76" xfId="3" applyNumberFormat="1" applyFont="1" applyBorder="1" applyAlignment="1">
      <alignment horizontal="right"/>
    </xf>
    <xf numFmtId="165" fontId="42" fillId="0" borderId="13" xfId="3" applyNumberFormat="1" applyFont="1" applyBorder="1" applyAlignment="1">
      <alignment horizontal="right"/>
    </xf>
    <xf numFmtId="165" fontId="40" fillId="22" borderId="39" xfId="3" applyNumberFormat="1" applyFont="1" applyFill="1" applyBorder="1" applyAlignment="1">
      <alignment horizontal="right" vertical="center"/>
    </xf>
    <xf numFmtId="165" fontId="40" fillId="22" borderId="61" xfId="3" applyNumberFormat="1" applyFont="1" applyFill="1" applyBorder="1" applyAlignment="1">
      <alignment horizontal="right" vertical="center"/>
    </xf>
    <xf numFmtId="165" fontId="40" fillId="22" borderId="55" xfId="3" applyNumberFormat="1" applyFont="1" applyFill="1" applyBorder="1" applyAlignment="1">
      <alignment horizontal="right" vertical="center"/>
    </xf>
    <xf numFmtId="165" fontId="40" fillId="22" borderId="60" xfId="3" applyNumberFormat="1" applyFont="1" applyFill="1" applyBorder="1" applyAlignment="1">
      <alignment horizontal="right" vertical="center"/>
    </xf>
    <xf numFmtId="165" fontId="40" fillId="22" borderId="56" xfId="3" applyNumberFormat="1" applyFont="1" applyFill="1" applyBorder="1" applyAlignment="1">
      <alignment horizontal="right" vertical="center"/>
    </xf>
    <xf numFmtId="164" fontId="42" fillId="22" borderId="4" xfId="3" applyNumberFormat="1" applyFont="1" applyFill="1" applyBorder="1"/>
    <xf numFmtId="164" fontId="40" fillId="0" borderId="5" xfId="3" applyNumberFormat="1" applyFont="1" applyBorder="1" applyAlignment="1">
      <alignment horizontal="center"/>
    </xf>
    <xf numFmtId="165" fontId="44" fillId="0" borderId="5" xfId="3" applyNumberFormat="1" applyFont="1" applyBorder="1"/>
    <xf numFmtId="165" fontId="44" fillId="0" borderId="73" xfId="3" applyNumberFormat="1" applyFont="1" applyBorder="1"/>
    <xf numFmtId="165" fontId="44" fillId="0" borderId="7" xfId="3" applyNumberFormat="1" applyFont="1" applyBorder="1"/>
    <xf numFmtId="165" fontId="44" fillId="0" borderId="74" xfId="3" applyNumberFormat="1" applyFont="1" applyBorder="1"/>
    <xf numFmtId="165" fontId="44" fillId="0" borderId="6" xfId="3" applyNumberFormat="1" applyFont="1" applyBorder="1"/>
    <xf numFmtId="164" fontId="40" fillId="22" borderId="38" xfId="3" applyNumberFormat="1" applyFont="1" applyFill="1" applyBorder="1"/>
    <xf numFmtId="165" fontId="44" fillId="22" borderId="39" xfId="3" applyNumberFormat="1" applyFont="1" applyFill="1" applyBorder="1"/>
    <xf numFmtId="165" fontId="44" fillId="22" borderId="61" xfId="3" applyNumberFormat="1" applyFont="1" applyFill="1" applyBorder="1"/>
    <xf numFmtId="165" fontId="44" fillId="22" borderId="55" xfId="3" applyNumberFormat="1" applyFont="1" applyFill="1" applyBorder="1"/>
    <xf numFmtId="165" fontId="44" fillId="22" borderId="60" xfId="3" applyNumberFormat="1" applyFont="1" applyFill="1" applyBorder="1"/>
    <xf numFmtId="165" fontId="44" fillId="22" borderId="40" xfId="3" applyNumberFormat="1" applyFont="1" applyFill="1" applyBorder="1"/>
    <xf numFmtId="165" fontId="44" fillId="0" borderId="46" xfId="3" applyNumberFormat="1" applyFont="1" applyBorder="1" applyAlignment="1">
      <alignment horizontal="right"/>
    </xf>
    <xf numFmtId="165" fontId="44" fillId="0" borderId="47" xfId="3" applyNumberFormat="1" applyFont="1" applyBorder="1" applyAlignment="1">
      <alignment horizontal="right"/>
    </xf>
    <xf numFmtId="165" fontId="44" fillId="0" borderId="57" xfId="3" applyNumberFormat="1" applyFont="1" applyBorder="1" applyAlignment="1">
      <alignment horizontal="right"/>
    </xf>
    <xf numFmtId="165" fontId="44" fillId="0" borderId="62" xfId="3" applyNumberFormat="1" applyFont="1" applyBorder="1" applyAlignment="1">
      <alignment horizontal="right"/>
    </xf>
    <xf numFmtId="165" fontId="44" fillId="0" borderId="63" xfId="3" applyNumberFormat="1" applyFont="1" applyBorder="1" applyAlignment="1">
      <alignment horizontal="right"/>
    </xf>
    <xf numFmtId="165" fontId="44" fillId="22" borderId="39" xfId="3" applyNumberFormat="1" applyFont="1" applyFill="1" applyBorder="1" applyAlignment="1">
      <alignment horizontal="right"/>
    </xf>
    <xf numFmtId="165" fontId="44" fillId="22" borderId="61" xfId="3" applyNumberFormat="1" applyFont="1" applyFill="1" applyBorder="1" applyAlignment="1">
      <alignment horizontal="right"/>
    </xf>
    <xf numFmtId="165" fontId="44" fillId="22" borderId="55" xfId="3" applyNumberFormat="1" applyFont="1" applyFill="1" applyBorder="1" applyAlignment="1">
      <alignment horizontal="right"/>
    </xf>
    <xf numFmtId="165" fontId="44" fillId="22" borderId="60" xfId="3" applyNumberFormat="1" applyFont="1" applyFill="1" applyBorder="1" applyAlignment="1">
      <alignment horizontal="right"/>
    </xf>
    <xf numFmtId="165" fontId="44" fillId="22" borderId="40" xfId="3" applyNumberFormat="1" applyFont="1" applyFill="1" applyBorder="1" applyAlignment="1">
      <alignment horizontal="right"/>
    </xf>
    <xf numFmtId="165" fontId="44" fillId="23" borderId="39" xfId="3" applyNumberFormat="1" applyFont="1" applyFill="1" applyBorder="1" applyAlignment="1">
      <alignment horizontal="right"/>
    </xf>
    <xf numFmtId="165" fontId="44" fillId="23" borderId="61" xfId="3" applyNumberFormat="1" applyFont="1" applyFill="1" applyBorder="1" applyAlignment="1">
      <alignment horizontal="right"/>
    </xf>
    <xf numFmtId="165" fontId="44" fillId="23" borderId="55" xfId="3" applyNumberFormat="1" applyFont="1" applyFill="1" applyBorder="1" applyAlignment="1">
      <alignment horizontal="right"/>
    </xf>
    <xf numFmtId="165" fontId="44" fillId="23" borderId="60" xfId="3" applyNumberFormat="1" applyFont="1" applyFill="1" applyBorder="1" applyAlignment="1">
      <alignment horizontal="right"/>
    </xf>
    <xf numFmtId="165" fontId="44" fillId="23" borderId="40" xfId="3" applyNumberFormat="1" applyFont="1" applyFill="1" applyBorder="1" applyAlignment="1">
      <alignment horizontal="right"/>
    </xf>
    <xf numFmtId="165" fontId="44" fillId="19" borderId="39" xfId="3" applyNumberFormat="1" applyFont="1" applyFill="1" applyBorder="1" applyAlignment="1">
      <alignment horizontal="right"/>
    </xf>
    <xf numFmtId="165" fontId="44" fillId="19" borderId="61" xfId="3" applyNumberFormat="1" applyFont="1" applyFill="1" applyBorder="1" applyAlignment="1">
      <alignment horizontal="right"/>
    </xf>
    <xf numFmtId="165" fontId="44" fillId="19" borderId="55" xfId="3" applyNumberFormat="1" applyFont="1" applyFill="1" applyBorder="1" applyAlignment="1">
      <alignment horizontal="right"/>
    </xf>
    <xf numFmtId="165" fontId="44" fillId="19" borderId="60" xfId="3" applyNumberFormat="1" applyFont="1" applyFill="1" applyBorder="1" applyAlignment="1">
      <alignment horizontal="right"/>
    </xf>
    <xf numFmtId="165" fontId="44" fillId="19" borderId="40" xfId="3" applyNumberFormat="1" applyFont="1" applyFill="1" applyBorder="1" applyAlignment="1">
      <alignment horizontal="right"/>
    </xf>
    <xf numFmtId="165" fontId="44" fillId="0" borderId="58" xfId="3" applyNumberFormat="1" applyFont="1" applyBorder="1" applyAlignment="1">
      <alignment horizontal="right"/>
    </xf>
    <xf numFmtId="165" fontId="40" fillId="0" borderId="16" xfId="3" applyNumberFormat="1" applyFont="1" applyBorder="1"/>
    <xf numFmtId="165" fontId="40" fillId="0" borderId="18" xfId="3" applyNumberFormat="1" applyFont="1" applyBorder="1"/>
    <xf numFmtId="165" fontId="40" fillId="0" borderId="43" xfId="3" applyNumberFormat="1" applyFont="1" applyBorder="1"/>
    <xf numFmtId="165" fontId="40" fillId="0" borderId="15" xfId="3" applyNumberFormat="1" applyFont="1" applyBorder="1"/>
    <xf numFmtId="165" fontId="40" fillId="0" borderId="44" xfId="3" applyNumberFormat="1" applyFont="1" applyBorder="1"/>
    <xf numFmtId="165" fontId="40" fillId="22" borderId="46" xfId="3" applyNumberFormat="1" applyFont="1" applyFill="1" applyBorder="1"/>
    <xf numFmtId="165" fontId="40" fillId="22" borderId="47" xfId="3" applyNumberFormat="1" applyFont="1" applyFill="1" applyBorder="1"/>
    <xf numFmtId="165" fontId="40" fillId="22" borderId="57" xfId="3" applyNumberFormat="1" applyFont="1" applyFill="1" applyBorder="1"/>
    <xf numFmtId="165" fontId="40" fillId="22" borderId="62" xfId="3" applyNumberFormat="1" applyFont="1" applyFill="1" applyBorder="1"/>
    <xf numFmtId="165" fontId="40" fillId="22" borderId="58" xfId="3" applyNumberFormat="1" applyFont="1" applyFill="1" applyBorder="1"/>
    <xf numFmtId="165" fontId="40" fillId="22" borderId="12" xfId="3" applyNumberFormat="1" applyFont="1" applyFill="1" applyBorder="1"/>
    <xf numFmtId="165" fontId="40" fillId="22" borderId="75" xfId="3" applyNumberFormat="1" applyFont="1" applyFill="1" applyBorder="1"/>
    <xf numFmtId="165" fontId="40" fillId="22" borderId="14" xfId="3" applyNumberFormat="1" applyFont="1" applyFill="1" applyBorder="1"/>
    <xf numFmtId="165" fontId="40" fillId="22" borderId="76" xfId="3" applyNumberFormat="1" applyFont="1" applyFill="1" applyBorder="1"/>
    <xf numFmtId="165" fontId="40" fillId="22" borderId="2" xfId="3" applyNumberFormat="1" applyFont="1" applyFill="1" applyBorder="1"/>
    <xf numFmtId="165" fontId="40" fillId="0" borderId="35" xfId="3" applyNumberFormat="1" applyFont="1" applyBorder="1" applyAlignment="1">
      <alignment horizontal="right"/>
    </xf>
    <xf numFmtId="165" fontId="40" fillId="0" borderId="41" xfId="3" applyNumberFormat="1" applyFont="1" applyBorder="1" applyAlignment="1">
      <alignment horizontal="right"/>
    </xf>
    <xf numFmtId="165" fontId="40" fillId="0" borderId="33" xfId="3" applyNumberFormat="1" applyFont="1" applyBorder="1" applyAlignment="1">
      <alignment horizontal="right"/>
    </xf>
    <xf numFmtId="165" fontId="40" fillId="0" borderId="42" xfId="3" applyNumberFormat="1" applyFont="1" applyBorder="1" applyAlignment="1">
      <alignment horizontal="right"/>
    </xf>
    <xf numFmtId="165" fontId="40" fillId="0" borderId="36" xfId="3" applyNumberFormat="1" applyFont="1" applyBorder="1" applyAlignment="1">
      <alignment horizontal="right"/>
    </xf>
    <xf numFmtId="165" fontId="40" fillId="0" borderId="35" xfId="3" applyNumberFormat="1" applyFont="1" applyBorder="1"/>
    <xf numFmtId="164" fontId="40" fillId="22" borderId="46" xfId="3" applyNumberFormat="1" applyFont="1" applyFill="1" applyBorder="1" applyAlignment="1">
      <alignment horizontal="center"/>
    </xf>
    <xf numFmtId="165" fontId="40" fillId="22" borderId="39" xfId="3" applyNumberFormat="1" applyFont="1" applyFill="1" applyBorder="1"/>
    <xf numFmtId="164" fontId="40" fillId="0" borderId="45" xfId="3" applyNumberFormat="1" applyFont="1" applyBorder="1" applyAlignment="1">
      <alignment horizontal="left" vertical="center"/>
    </xf>
    <xf numFmtId="164" fontId="40" fillId="0" borderId="35" xfId="3" applyNumberFormat="1" applyFont="1" applyBorder="1" applyAlignment="1">
      <alignment horizontal="center" vertical="center"/>
    </xf>
    <xf numFmtId="164" fontId="40" fillId="19" borderId="16" xfId="3" applyNumberFormat="1" applyFont="1" applyFill="1" applyBorder="1" applyAlignment="1">
      <alignment horizontal="center"/>
    </xf>
    <xf numFmtId="165" fontId="40" fillId="19" borderId="16" xfId="3" applyNumberFormat="1" applyFont="1" applyFill="1" applyBorder="1" applyAlignment="1">
      <alignment horizontal="right" vertical="center"/>
    </xf>
    <xf numFmtId="165" fontId="40" fillId="19" borderId="18" xfId="3" applyNumberFormat="1" applyFont="1" applyFill="1" applyBorder="1" applyAlignment="1">
      <alignment horizontal="right" vertical="center"/>
    </xf>
    <xf numFmtId="165" fontId="40" fillId="19" borderId="43" xfId="3" applyNumberFormat="1" applyFont="1" applyFill="1" applyBorder="1" applyAlignment="1">
      <alignment horizontal="right" vertical="center"/>
    </xf>
    <xf numFmtId="165" fontId="40" fillId="19" borderId="15" xfId="3" applyNumberFormat="1" applyFont="1" applyFill="1" applyBorder="1" applyAlignment="1">
      <alignment horizontal="right" vertical="center"/>
    </xf>
    <xf numFmtId="165" fontId="40" fillId="19" borderId="17" xfId="3" applyNumberFormat="1" applyFont="1" applyFill="1" applyBorder="1" applyAlignment="1">
      <alignment horizontal="right" vertical="center"/>
    </xf>
    <xf numFmtId="164" fontId="46" fillId="19" borderId="35" xfId="3" applyNumberFormat="1" applyFont="1" applyFill="1" applyBorder="1" applyAlignment="1">
      <alignment horizontal="center"/>
    </xf>
    <xf numFmtId="165" fontId="46" fillId="19" borderId="35" xfId="3" applyNumberFormat="1" applyFont="1" applyFill="1" applyBorder="1" applyAlignment="1">
      <alignment horizontal="right" vertical="center"/>
    </xf>
    <xf numFmtId="165" fontId="46" fillId="19" borderId="41" xfId="3" applyNumberFormat="1" applyFont="1" applyFill="1" applyBorder="1" applyAlignment="1">
      <alignment horizontal="right" vertical="center"/>
    </xf>
    <xf numFmtId="165" fontId="46" fillId="19" borderId="33" xfId="3" applyNumberFormat="1" applyFont="1" applyFill="1" applyBorder="1" applyAlignment="1">
      <alignment horizontal="right" vertical="center"/>
    </xf>
    <xf numFmtId="165" fontId="46" fillId="19" borderId="42" xfId="3" applyNumberFormat="1" applyFont="1" applyFill="1" applyBorder="1" applyAlignment="1">
      <alignment horizontal="right" vertical="center"/>
    </xf>
    <xf numFmtId="165" fontId="46" fillId="19" borderId="36" xfId="3" applyNumberFormat="1" applyFont="1" applyFill="1" applyBorder="1" applyAlignment="1">
      <alignment horizontal="right" vertical="center"/>
    </xf>
    <xf numFmtId="164" fontId="46" fillId="0" borderId="35" xfId="3" applyNumberFormat="1" applyFont="1" applyBorder="1" applyAlignment="1">
      <alignment horizontal="center"/>
    </xf>
    <xf numFmtId="165" fontId="46" fillId="0" borderId="35" xfId="3" applyNumberFormat="1" applyFont="1" applyBorder="1"/>
    <xf numFmtId="165" fontId="46" fillId="0" borderId="35" xfId="3" applyNumberFormat="1" applyFont="1" applyBorder="1" applyAlignment="1">
      <alignment horizontal="right" vertical="center"/>
    </xf>
    <xf numFmtId="165" fontId="46" fillId="0" borderId="41" xfId="3" applyNumberFormat="1" applyFont="1" applyBorder="1" applyAlignment="1">
      <alignment horizontal="right" vertical="center"/>
    </xf>
    <xf numFmtId="165" fontId="46" fillId="0" borderId="33" xfId="3" applyNumberFormat="1" applyFont="1" applyBorder="1" applyAlignment="1">
      <alignment horizontal="right" vertical="center"/>
    </xf>
    <xf numFmtId="165" fontId="46" fillId="0" borderId="42" xfId="3" applyNumberFormat="1" applyFont="1" applyBorder="1" applyAlignment="1">
      <alignment horizontal="right" vertical="center"/>
    </xf>
    <xf numFmtId="165" fontId="46" fillId="0" borderId="36" xfId="3" applyNumberFormat="1" applyFont="1" applyBorder="1" applyAlignment="1">
      <alignment horizontal="right" vertical="center"/>
    </xf>
    <xf numFmtId="165" fontId="40" fillId="22" borderId="61" xfId="3" applyNumberFormat="1" applyFont="1" applyFill="1" applyBorder="1"/>
    <xf numFmtId="165" fontId="40" fillId="22" borderId="55" xfId="3" applyNumberFormat="1" applyFont="1" applyFill="1" applyBorder="1"/>
    <xf numFmtId="165" fontId="40" fillId="22" borderId="60" xfId="3" applyNumberFormat="1" applyFont="1" applyFill="1" applyBorder="1"/>
    <xf numFmtId="165" fontId="40" fillId="22" borderId="56" xfId="3" applyNumberFormat="1" applyFont="1" applyFill="1" applyBorder="1"/>
    <xf numFmtId="3" fontId="15" fillId="0" borderId="0" xfId="3" applyNumberFormat="1" applyFont="1"/>
    <xf numFmtId="164" fontId="40" fillId="0" borderId="11" xfId="4" applyNumberFormat="1" applyFont="1" applyBorder="1" applyAlignment="1">
      <alignment horizontal="left" vertical="center" wrapText="1"/>
    </xf>
    <xf numFmtId="164" fontId="40" fillId="19" borderId="50" xfId="3" applyNumberFormat="1" applyFont="1" applyFill="1" applyBorder="1" applyAlignment="1">
      <alignment horizontal="center"/>
    </xf>
    <xf numFmtId="165" fontId="40" fillId="19" borderId="50" xfId="3" applyNumberFormat="1" applyFont="1" applyFill="1" applyBorder="1" applyAlignment="1">
      <alignment horizontal="right" vertical="center"/>
    </xf>
    <xf numFmtId="165" fontId="40" fillId="19" borderId="53" xfId="3" applyNumberFormat="1" applyFont="1" applyFill="1" applyBorder="1" applyAlignment="1">
      <alignment horizontal="right" vertical="center"/>
    </xf>
    <xf numFmtId="165" fontId="40" fillId="19" borderId="48" xfId="3" applyNumberFormat="1" applyFont="1" applyFill="1" applyBorder="1" applyAlignment="1">
      <alignment horizontal="right" vertical="center"/>
    </xf>
    <xf numFmtId="165" fontId="40" fillId="19" borderId="49" xfId="3" applyNumberFormat="1" applyFont="1" applyFill="1" applyBorder="1" applyAlignment="1">
      <alignment horizontal="right" vertical="center"/>
    </xf>
    <xf numFmtId="165" fontId="40" fillId="19" borderId="51" xfId="3" applyNumberFormat="1" applyFont="1" applyFill="1" applyBorder="1" applyAlignment="1">
      <alignment horizontal="right" vertical="center"/>
    </xf>
    <xf numFmtId="3" fontId="40" fillId="0" borderId="59" xfId="3" applyNumberFormat="1" applyFont="1" applyBorder="1"/>
    <xf numFmtId="3" fontId="40" fillId="0" borderId="58" xfId="3" applyNumberFormat="1" applyFont="1" applyBorder="1"/>
    <xf numFmtId="3" fontId="7" fillId="0" borderId="33" xfId="3" applyNumberFormat="1" applyFont="1" applyBorder="1" applyAlignment="1">
      <alignment horizontal="center" vertical="center"/>
    </xf>
    <xf numFmtId="3" fontId="44" fillId="0" borderId="42" xfId="3" applyNumberFormat="1" applyFont="1" applyBorder="1" applyAlignment="1">
      <alignment horizontal="right" vertical="center"/>
    </xf>
    <xf numFmtId="3" fontId="48" fillId="0" borderId="33" xfId="3" applyNumberFormat="1" applyFont="1" applyBorder="1" applyAlignment="1">
      <alignment horizontal="center" vertical="center"/>
    </xf>
    <xf numFmtId="3" fontId="48" fillId="0" borderId="42" xfId="3" applyNumberFormat="1" applyFont="1" applyBorder="1" applyAlignment="1">
      <alignment horizontal="right" vertical="center"/>
    </xf>
    <xf numFmtId="4" fontId="48" fillId="0" borderId="35" xfId="3" applyNumberFormat="1" applyFont="1" applyBorder="1" applyAlignment="1">
      <alignment horizontal="right" vertical="center"/>
    </xf>
    <xf numFmtId="3" fontId="48" fillId="0" borderId="35" xfId="3" applyNumberFormat="1" applyFont="1" applyBorder="1" applyAlignment="1">
      <alignment horizontal="right" vertical="center"/>
    </xf>
    <xf numFmtId="3" fontId="51" fillId="0" borderId="33" xfId="3" applyNumberFormat="1" applyFont="1" applyBorder="1" applyAlignment="1">
      <alignment horizontal="center" vertical="center"/>
    </xf>
    <xf numFmtId="3" fontId="50" fillId="0" borderId="42" xfId="3" applyNumberFormat="1" applyFont="1" applyBorder="1" applyAlignment="1">
      <alignment horizontal="right" vertical="center"/>
    </xf>
    <xf numFmtId="3" fontId="50" fillId="0" borderId="35" xfId="3" applyNumberFormat="1" applyFont="1" applyBorder="1" applyAlignment="1">
      <alignment horizontal="right" vertical="center"/>
    </xf>
    <xf numFmtId="3" fontId="50" fillId="0" borderId="33" xfId="3" applyNumberFormat="1" applyFont="1" applyBorder="1" applyAlignment="1">
      <alignment horizontal="center" vertical="center"/>
    </xf>
    <xf numFmtId="3" fontId="54" fillId="0" borderId="33" xfId="3" applyNumberFormat="1" applyFont="1" applyBorder="1" applyAlignment="1">
      <alignment horizontal="center" vertical="center"/>
    </xf>
    <xf numFmtId="3" fontId="53" fillId="0" borderId="34" xfId="3" applyNumberFormat="1" applyFont="1" applyBorder="1" applyAlignment="1">
      <alignment horizontal="right" vertical="center"/>
    </xf>
    <xf numFmtId="3" fontId="53" fillId="0" borderId="35" xfId="3" applyNumberFormat="1" applyFont="1" applyBorder="1" applyAlignment="1">
      <alignment horizontal="right" vertical="center"/>
    </xf>
    <xf numFmtId="3" fontId="53" fillId="0" borderId="48" xfId="3" applyNumberFormat="1" applyFont="1" applyBorder="1" applyAlignment="1">
      <alignment horizontal="center" vertical="center"/>
    </xf>
    <xf numFmtId="3" fontId="53" fillId="0" borderId="54" xfId="3" applyNumberFormat="1" applyFont="1" applyBorder="1" applyAlignment="1">
      <alignment horizontal="right" vertical="center"/>
    </xf>
    <xf numFmtId="3" fontId="53" fillId="0" borderId="12" xfId="3" applyNumberFormat="1" applyFont="1" applyBorder="1" applyAlignment="1">
      <alignment horizontal="right" vertical="center"/>
    </xf>
    <xf numFmtId="3" fontId="40" fillId="0" borderId="2" xfId="3" applyNumberFormat="1" applyFont="1" applyBorder="1"/>
    <xf numFmtId="0" fontId="7" fillId="0" borderId="0" xfId="2" applyFont="1" applyAlignment="1">
      <alignment horizontal="center"/>
    </xf>
    <xf numFmtId="0" fontId="16" fillId="0" borderId="0" xfId="2" applyFont="1"/>
    <xf numFmtId="0" fontId="7" fillId="0" borderId="0" xfId="2" applyFont="1" applyAlignment="1">
      <alignment horizontal="center" vertical="center"/>
    </xf>
    <xf numFmtId="0" fontId="16" fillId="0" borderId="0" xfId="5" applyFont="1"/>
    <xf numFmtId="4" fontId="16" fillId="0" borderId="0" xfId="6" applyNumberFormat="1" applyFont="1" applyAlignment="1">
      <alignment horizontal="center"/>
    </xf>
    <xf numFmtId="0" fontId="16" fillId="0" borderId="0" xfId="6" applyFont="1"/>
    <xf numFmtId="164" fontId="2" fillId="0" borderId="0" xfId="7" applyNumberFormat="1" applyFont="1" applyProtection="1">
      <protection locked="0"/>
    </xf>
    <xf numFmtId="4" fontId="15" fillId="0" borderId="0" xfId="7" applyNumberFormat="1" applyFont="1" applyProtection="1">
      <protection locked="0"/>
    </xf>
    <xf numFmtId="164" fontId="2" fillId="0" borderId="0" xfId="7" applyNumberFormat="1" applyFont="1" applyAlignment="1" applyProtection="1">
      <alignment horizontal="center"/>
      <protection locked="0"/>
    </xf>
    <xf numFmtId="164" fontId="7" fillId="2" borderId="6" xfId="1" applyNumberFormat="1" applyFont="1" applyFill="1" applyBorder="1" applyAlignment="1" applyProtection="1">
      <alignment horizontal="right" vertical="center" wrapText="1"/>
      <protection locked="0"/>
    </xf>
    <xf numFmtId="164" fontId="7" fillId="2" borderId="17" xfId="1" quotePrefix="1" applyNumberFormat="1" applyFont="1" applyFill="1" applyBorder="1" applyAlignment="1" applyProtection="1">
      <alignment horizontal="right" vertical="center" wrapText="1"/>
      <protection locked="0"/>
    </xf>
    <xf numFmtId="164" fontId="7" fillId="7" borderId="17" xfId="1" applyNumberFormat="1" applyFont="1" applyFill="1" applyBorder="1" applyAlignment="1" applyProtection="1">
      <alignment horizontal="right" vertical="center" wrapText="1"/>
      <protection locked="0"/>
    </xf>
    <xf numFmtId="164" fontId="15" fillId="0" borderId="17" xfId="1" applyNumberFormat="1" applyFont="1" applyBorder="1" applyAlignment="1" applyProtection="1">
      <alignment horizontal="right" vertical="center" wrapText="1"/>
      <protection locked="0"/>
    </xf>
    <xf numFmtId="164" fontId="15" fillId="0" borderId="17" xfId="1" quotePrefix="1" applyNumberFormat="1" applyFont="1" applyBorder="1" applyAlignment="1" applyProtection="1">
      <alignment horizontal="right" vertical="center" wrapText="1"/>
      <protection locked="0"/>
    </xf>
    <xf numFmtId="164" fontId="7" fillId="7" borderId="6" xfId="1" applyNumberFormat="1" applyFont="1" applyFill="1" applyBorder="1" applyAlignment="1" applyProtection="1">
      <alignment horizontal="right" vertical="center" wrapText="1"/>
      <protection locked="0"/>
    </xf>
    <xf numFmtId="49" fontId="7" fillId="2" borderId="6" xfId="1" applyNumberFormat="1" applyFont="1" applyFill="1" applyBorder="1" applyAlignment="1" applyProtection="1">
      <alignment horizontal="right" vertical="center" wrapText="1"/>
      <protection locked="0"/>
    </xf>
    <xf numFmtId="4" fontId="15" fillId="0" borderId="17" xfId="1" applyNumberFormat="1" applyFont="1" applyBorder="1" applyAlignment="1" applyProtection="1">
      <alignment horizontal="right" vertical="center" wrapText="1"/>
      <protection locked="0"/>
    </xf>
    <xf numFmtId="164" fontId="7" fillId="2" borderId="6" xfId="1" quotePrefix="1" applyNumberFormat="1" applyFont="1" applyFill="1" applyBorder="1" applyAlignment="1" applyProtection="1">
      <alignment horizontal="right" vertical="center" wrapText="1"/>
      <protection locked="0"/>
    </xf>
    <xf numFmtId="4" fontId="6" fillId="0" borderId="1" xfId="1" applyNumberFormat="1" applyFont="1" applyFill="1" applyBorder="1" applyAlignment="1" applyProtection="1">
      <alignment horizontal="center" vertical="center"/>
      <protection locked="0"/>
    </xf>
    <xf numFmtId="4" fontId="6" fillId="0" borderId="1" xfId="1" applyNumberFormat="1" applyFont="1" applyFill="1" applyBorder="1" applyAlignment="1" applyProtection="1">
      <alignment horizontal="center" vertical="center" wrapText="1"/>
      <protection locked="0"/>
    </xf>
    <xf numFmtId="164" fontId="59" fillId="2" borderId="30" xfId="1" applyNumberFormat="1" applyFont="1" applyFill="1" applyBorder="1" applyAlignment="1" applyProtection="1">
      <alignment horizontal="right" vertical="center" wrapText="1"/>
      <protection locked="0"/>
    </xf>
    <xf numFmtId="164" fontId="59" fillId="3" borderId="10" xfId="1" applyNumberFormat="1" applyFont="1" applyFill="1" applyBorder="1" applyAlignment="1" applyProtection="1">
      <alignment horizontal="right" vertical="center" wrapText="1"/>
      <protection locked="0"/>
    </xf>
    <xf numFmtId="164" fontId="59" fillId="2" borderId="32" xfId="1" applyNumberFormat="1" applyFont="1" applyFill="1" applyBorder="1" applyAlignment="1" applyProtection="1">
      <alignment horizontal="right" vertical="center" wrapText="1"/>
      <protection locked="0"/>
    </xf>
    <xf numFmtId="164" fontId="59" fillId="4" borderId="30" xfId="1" applyNumberFormat="1" applyFont="1" applyFill="1" applyBorder="1" applyAlignment="1" applyProtection="1">
      <alignment horizontal="right" vertical="center" wrapText="1"/>
      <protection locked="0"/>
    </xf>
    <xf numFmtId="164" fontId="59" fillId="5" borderId="10" xfId="1" applyNumberFormat="1" applyFont="1" applyFill="1" applyBorder="1" applyAlignment="1" applyProtection="1">
      <alignment horizontal="right" vertical="center" wrapText="1"/>
      <protection locked="0"/>
    </xf>
    <xf numFmtId="164" fontId="59" fillId="2" borderId="55" xfId="1" applyNumberFormat="1" applyFont="1" applyFill="1" applyBorder="1" applyAlignment="1" applyProtection="1">
      <alignment horizontal="right" vertical="center" wrapText="1"/>
      <protection locked="0"/>
    </xf>
    <xf numFmtId="164" fontId="59" fillId="3" borderId="56" xfId="1" applyNumberFormat="1" applyFont="1" applyFill="1" applyBorder="1" applyAlignment="1" applyProtection="1">
      <alignment horizontal="right" vertical="center" wrapText="1"/>
      <protection locked="0"/>
    </xf>
    <xf numFmtId="164" fontId="59" fillId="2" borderId="40" xfId="1" applyNumberFormat="1" applyFont="1" applyFill="1" applyBorder="1" applyAlignment="1" applyProtection="1">
      <alignment horizontal="right" vertical="center" wrapText="1"/>
      <protection locked="0"/>
    </xf>
    <xf numFmtId="164" fontId="59" fillId="4" borderId="55" xfId="1" applyNumberFormat="1" applyFont="1" applyFill="1" applyBorder="1" applyAlignment="1" applyProtection="1">
      <alignment horizontal="right" vertical="center" wrapText="1"/>
      <protection locked="0"/>
    </xf>
    <xf numFmtId="164" fontId="59" fillId="5" borderId="56" xfId="1" applyNumberFormat="1" applyFont="1" applyFill="1" applyBorder="1" applyAlignment="1" applyProtection="1">
      <alignment horizontal="right" vertical="center" wrapText="1"/>
      <protection locked="0"/>
    </xf>
    <xf numFmtId="164" fontId="60" fillId="0" borderId="33" xfId="1" applyNumberFormat="1" applyFont="1" applyBorder="1" applyAlignment="1">
      <alignment vertical="center" wrapText="1"/>
    </xf>
    <xf numFmtId="164" fontId="60" fillId="0" borderId="37" xfId="1" applyNumberFormat="1" applyFont="1" applyBorder="1" applyAlignment="1">
      <alignment vertical="center" wrapText="1"/>
    </xf>
    <xf numFmtId="164" fontId="60" fillId="0" borderId="36" xfId="1" applyNumberFormat="1" applyFont="1" applyBorder="1" applyAlignment="1">
      <alignment vertical="center" wrapText="1"/>
    </xf>
    <xf numFmtId="164" fontId="60" fillId="0" borderId="33" xfId="1" applyNumberFormat="1" applyFont="1" applyBorder="1" applyAlignment="1">
      <alignment wrapText="1"/>
    </xf>
    <xf numFmtId="164" fontId="16" fillId="0" borderId="33" xfId="1" applyNumberFormat="1" applyFont="1" applyBorder="1" applyAlignment="1">
      <alignment vertical="center" wrapText="1"/>
    </xf>
    <xf numFmtId="164" fontId="16" fillId="0" borderId="37" xfId="1" applyNumberFormat="1" applyFont="1" applyBorder="1" applyAlignment="1">
      <alignment vertical="center" wrapText="1"/>
    </xf>
    <xf numFmtId="164" fontId="16" fillId="0" borderId="36" xfId="1" applyNumberFormat="1" applyFont="1" applyBorder="1" applyAlignment="1">
      <alignment vertical="center" wrapText="1"/>
    </xf>
    <xf numFmtId="164" fontId="16" fillId="0" borderId="33" xfId="1" applyNumberFormat="1" applyFont="1" applyBorder="1" applyAlignment="1">
      <alignment wrapText="1"/>
    </xf>
    <xf numFmtId="164" fontId="16" fillId="16" borderId="33" xfId="1" applyNumberFormat="1" applyFont="1" applyFill="1" applyBorder="1" applyAlignment="1">
      <alignment vertical="center" wrapText="1"/>
    </xf>
    <xf numFmtId="164" fontId="16" fillId="16" borderId="37" xfId="1" applyNumberFormat="1" applyFont="1" applyFill="1" applyBorder="1" applyAlignment="1">
      <alignment vertical="center" wrapText="1"/>
    </xf>
    <xf numFmtId="164" fontId="16" fillId="16" borderId="36" xfId="1" applyNumberFormat="1" applyFont="1" applyFill="1" applyBorder="1" applyAlignment="1">
      <alignment vertical="center" wrapText="1"/>
    </xf>
    <xf numFmtId="164" fontId="16" fillId="16" borderId="33" xfId="1" applyNumberFormat="1" applyFont="1" applyFill="1" applyBorder="1" applyAlignment="1">
      <alignment wrapText="1"/>
    </xf>
    <xf numFmtId="164" fontId="59" fillId="7" borderId="33" xfId="1" applyNumberFormat="1" applyFont="1" applyFill="1" applyBorder="1" applyAlignment="1">
      <alignment vertical="center" wrapText="1"/>
    </xf>
    <xf numFmtId="164" fontId="59" fillId="8" borderId="37" xfId="1" applyNumberFormat="1" applyFont="1" applyFill="1" applyBorder="1" applyAlignment="1">
      <alignment vertical="center" wrapText="1"/>
    </xf>
    <xf numFmtId="164" fontId="59" fillId="6" borderId="36" xfId="1" applyNumberFormat="1" applyFont="1" applyFill="1" applyBorder="1" applyAlignment="1">
      <alignment vertical="center" wrapText="1"/>
    </xf>
    <xf numFmtId="164" fontId="59" fillId="9" borderId="33" xfId="1" applyNumberFormat="1" applyFont="1" applyFill="1" applyBorder="1" applyAlignment="1">
      <alignment wrapText="1"/>
    </xf>
    <xf numFmtId="164" fontId="59" fillId="10" borderId="33" xfId="1" applyNumberFormat="1" applyFont="1" applyFill="1" applyBorder="1" applyAlignment="1">
      <alignment vertical="center" wrapText="1"/>
    </xf>
    <xf numFmtId="164" fontId="60" fillId="0" borderId="43" xfId="1" applyNumberFormat="1" applyFont="1" applyBorder="1" applyAlignment="1">
      <alignment vertical="center" wrapText="1"/>
    </xf>
    <xf numFmtId="164" fontId="60" fillId="0" borderId="44" xfId="1" applyNumberFormat="1" applyFont="1" applyBorder="1" applyAlignment="1">
      <alignment vertical="center" wrapText="1"/>
    </xf>
    <xf numFmtId="164" fontId="60" fillId="0" borderId="17" xfId="1" applyNumberFormat="1" applyFont="1" applyBorder="1" applyAlignment="1">
      <alignment vertical="center" wrapText="1"/>
    </xf>
    <xf numFmtId="164" fontId="60" fillId="0" borderId="43" xfId="1" applyNumberFormat="1" applyFont="1" applyBorder="1" applyAlignment="1">
      <alignment wrapText="1"/>
    </xf>
    <xf numFmtId="164" fontId="59" fillId="2" borderId="30" xfId="1" applyNumberFormat="1" applyFont="1" applyFill="1" applyBorder="1" applyAlignment="1">
      <alignment vertical="center" wrapText="1"/>
    </xf>
    <xf numFmtId="164" fontId="59" fillId="3" borderId="10" xfId="1" applyNumberFormat="1" applyFont="1" applyFill="1" applyBorder="1" applyAlignment="1">
      <alignment vertical="center" wrapText="1"/>
    </xf>
    <xf numFmtId="164" fontId="59" fillId="2" borderId="32" xfId="1" applyNumberFormat="1" applyFont="1" applyFill="1" applyBorder="1" applyAlignment="1">
      <alignment vertical="center" wrapText="1"/>
    </xf>
    <xf numFmtId="164" fontId="59" fillId="4" borderId="30" xfId="1" applyNumberFormat="1" applyFont="1" applyFill="1" applyBorder="1" applyAlignment="1">
      <alignment wrapText="1"/>
    </xf>
    <xf numFmtId="164" fontId="59" fillId="5" borderId="10" xfId="1" applyNumberFormat="1" applyFont="1" applyFill="1" applyBorder="1" applyAlignment="1">
      <alignment vertical="center" wrapText="1"/>
    </xf>
    <xf numFmtId="164" fontId="59" fillId="10" borderId="37" xfId="1" applyNumberFormat="1" applyFont="1" applyFill="1" applyBorder="1" applyAlignment="1">
      <alignment vertical="center" wrapText="1"/>
    </xf>
    <xf numFmtId="164" fontId="61" fillId="0" borderId="37" xfId="1" applyNumberFormat="1" applyFont="1" applyBorder="1" applyAlignment="1">
      <alignment wrapText="1"/>
    </xf>
    <xf numFmtId="164" fontId="61" fillId="0" borderId="36" xfId="1" applyNumberFormat="1" applyFont="1" applyBorder="1" applyAlignment="1">
      <alignment wrapText="1"/>
    </xf>
    <xf numFmtId="164" fontId="61" fillId="0" borderId="33" xfId="1" applyNumberFormat="1" applyFont="1" applyBorder="1" applyAlignment="1">
      <alignment wrapText="1"/>
    </xf>
    <xf numFmtId="164" fontId="59" fillId="2" borderId="55" xfId="1" applyNumberFormat="1" applyFont="1" applyFill="1" applyBorder="1" applyAlignment="1">
      <alignment vertical="center" wrapText="1"/>
    </xf>
    <xf numFmtId="164" fontId="59" fillId="3" borderId="56" xfId="1" applyNumberFormat="1" applyFont="1" applyFill="1" applyBorder="1" applyAlignment="1">
      <alignment vertical="center" wrapText="1"/>
    </xf>
    <xf numFmtId="164" fontId="59" fillId="2" borderId="40" xfId="1" applyNumberFormat="1" applyFont="1" applyFill="1" applyBorder="1" applyAlignment="1">
      <alignment vertical="center" wrapText="1"/>
    </xf>
    <xf numFmtId="164" fontId="59" fillId="4" borderId="55" xfId="1" applyNumberFormat="1" applyFont="1" applyFill="1" applyBorder="1" applyAlignment="1">
      <alignment vertical="center" wrapText="1"/>
    </xf>
    <xf numFmtId="164" fontId="59" fillId="5" borderId="56" xfId="1" applyNumberFormat="1" applyFont="1" applyFill="1" applyBorder="1" applyAlignment="1">
      <alignment vertical="center" wrapText="1"/>
    </xf>
    <xf numFmtId="164" fontId="60" fillId="0" borderId="55" xfId="1" applyNumberFormat="1" applyFont="1" applyBorder="1" applyAlignment="1">
      <alignment vertical="center" wrapText="1"/>
    </xf>
    <xf numFmtId="164" fontId="59" fillId="2" borderId="33" xfId="1" applyNumberFormat="1" applyFont="1" applyFill="1" applyBorder="1" applyAlignment="1">
      <alignment vertical="center" wrapText="1"/>
    </xf>
    <xf numFmtId="164" fontId="59" fillId="3" borderId="37" xfId="1" applyNumberFormat="1" applyFont="1" applyFill="1" applyBorder="1" applyAlignment="1">
      <alignment vertical="center" wrapText="1"/>
    </xf>
    <xf numFmtId="164" fontId="59" fillId="2" borderId="36" xfId="1" applyNumberFormat="1" applyFont="1" applyFill="1" applyBorder="1" applyAlignment="1">
      <alignment vertical="center" wrapText="1"/>
    </xf>
    <xf numFmtId="164" fontId="59" fillId="4" borderId="33" xfId="1" applyNumberFormat="1" applyFont="1" applyFill="1" applyBorder="1" applyAlignment="1">
      <alignment vertical="center" wrapText="1"/>
    </xf>
    <xf numFmtId="164" fontId="59" fillId="5" borderId="37" xfId="1" applyNumberFormat="1" applyFont="1" applyFill="1" applyBorder="1" applyAlignment="1">
      <alignment vertical="center" wrapText="1"/>
    </xf>
    <xf numFmtId="164" fontId="8" fillId="2" borderId="55" xfId="1" applyNumberFormat="1" applyFont="1" applyFill="1" applyBorder="1" applyAlignment="1">
      <alignment vertical="center" wrapText="1"/>
    </xf>
    <xf numFmtId="164" fontId="8" fillId="3" borderId="56" xfId="1" applyNumberFormat="1" applyFont="1" applyFill="1" applyBorder="1" applyAlignment="1">
      <alignment vertical="center" wrapText="1"/>
    </xf>
    <xf numFmtId="164" fontId="8" fillId="2" borderId="40" xfId="1" applyNumberFormat="1" applyFont="1" applyFill="1" applyBorder="1" applyAlignment="1">
      <alignment vertical="center" wrapText="1"/>
    </xf>
    <xf numFmtId="164" fontId="8" fillId="4" borderId="55" xfId="1" applyNumberFormat="1" applyFont="1" applyFill="1" applyBorder="1" applyAlignment="1">
      <alignment vertical="center" wrapText="1"/>
    </xf>
    <xf numFmtId="164" fontId="8" fillId="5" borderId="56" xfId="1" applyNumberFormat="1" applyFont="1" applyFill="1" applyBorder="1" applyAlignment="1">
      <alignment vertical="center" wrapText="1"/>
    </xf>
    <xf numFmtId="164" fontId="60" fillId="0" borderId="57" xfId="1" applyNumberFormat="1" applyFont="1" applyBorder="1" applyAlignment="1">
      <alignment vertical="center" wrapText="1"/>
    </xf>
    <xf numFmtId="164" fontId="60" fillId="0" borderId="58" xfId="1" applyNumberFormat="1" applyFont="1" applyBorder="1" applyAlignment="1">
      <alignment vertical="center" wrapText="1"/>
    </xf>
    <xf numFmtId="164" fontId="60" fillId="0" borderId="63" xfId="1" applyNumberFormat="1" applyFont="1" applyBorder="1" applyAlignment="1">
      <alignment vertical="center" wrapText="1"/>
    </xf>
    <xf numFmtId="164" fontId="16" fillId="16" borderId="48" xfId="1" applyNumberFormat="1" applyFont="1" applyFill="1" applyBorder="1" applyAlignment="1">
      <alignment vertical="center" wrapText="1"/>
    </xf>
    <xf numFmtId="164" fontId="16" fillId="16" borderId="52" xfId="1" applyNumberFormat="1" applyFont="1" applyFill="1" applyBorder="1" applyAlignment="1">
      <alignment vertical="center" wrapText="1"/>
    </xf>
    <xf numFmtId="164" fontId="7" fillId="2" borderId="83" xfId="1" applyNumberFormat="1" applyFont="1" applyFill="1" applyBorder="1" applyAlignment="1" applyProtection="1">
      <alignment horizontal="right" vertical="center" wrapText="1"/>
      <protection locked="0"/>
    </xf>
    <xf numFmtId="0" fontId="58" fillId="20" borderId="88" xfId="9" applyFont="1" applyFill="1" applyBorder="1" applyAlignment="1">
      <alignment vertical="center" wrapText="1"/>
    </xf>
    <xf numFmtId="0" fontId="58" fillId="20" borderId="89" xfId="9" applyFont="1" applyFill="1" applyBorder="1" applyAlignment="1">
      <alignment vertical="center" wrapText="1"/>
    </xf>
    <xf numFmtId="165" fontId="58" fillId="20" borderId="96" xfId="9" applyNumberFormat="1" applyFont="1" applyFill="1" applyBorder="1" applyAlignment="1">
      <alignment horizontal="center" vertical="center" wrapText="1"/>
    </xf>
    <xf numFmtId="165" fontId="58" fillId="20" borderId="97" xfId="9" applyNumberFormat="1" applyFont="1" applyFill="1" applyBorder="1" applyAlignment="1">
      <alignment horizontal="center" vertical="center" wrapText="1"/>
    </xf>
    <xf numFmtId="164" fontId="7" fillId="2" borderId="4" xfId="1" applyNumberFormat="1" applyFont="1" applyFill="1" applyBorder="1" applyAlignment="1" applyProtection="1">
      <alignment horizontal="left" vertical="center" wrapText="1"/>
      <protection locked="0"/>
    </xf>
    <xf numFmtId="164" fontId="7" fillId="6" borderId="4" xfId="1" applyNumberFormat="1" applyFont="1" applyFill="1" applyBorder="1" applyAlignment="1" applyProtection="1">
      <alignment horizontal="left" vertical="center" wrapText="1"/>
      <protection locked="0"/>
    </xf>
    <xf numFmtId="164" fontId="7" fillId="2" borderId="19" xfId="1" applyNumberFormat="1" applyFont="1" applyFill="1" applyBorder="1" applyAlignment="1" applyProtection="1">
      <alignment horizontal="left" vertical="center" wrapText="1"/>
      <protection locked="0"/>
    </xf>
    <xf numFmtId="164" fontId="7" fillId="7" borderId="19" xfId="1" applyNumberFormat="1" applyFont="1" applyFill="1" applyBorder="1" applyAlignment="1" applyProtection="1">
      <alignment horizontal="left" vertical="center" wrapText="1"/>
      <protection locked="0"/>
    </xf>
    <xf numFmtId="164" fontId="15" fillId="0" borderId="19" xfId="1" applyNumberFormat="1" applyFont="1" applyBorder="1" applyAlignment="1" applyProtection="1">
      <alignment horizontal="left" vertical="center" wrapText="1"/>
      <protection locked="0"/>
    </xf>
    <xf numFmtId="164" fontId="7" fillId="0" borderId="19" xfId="1" applyNumberFormat="1" applyFont="1" applyBorder="1" applyAlignment="1" applyProtection="1">
      <alignment horizontal="left" vertical="center" wrapText="1"/>
      <protection locked="0"/>
    </xf>
    <xf numFmtId="4" fontId="7" fillId="2" borderId="4" xfId="1" applyNumberFormat="1" applyFont="1" applyFill="1" applyBorder="1" applyAlignment="1" applyProtection="1">
      <alignment horizontal="left" vertical="center" wrapText="1"/>
      <protection locked="0"/>
    </xf>
    <xf numFmtId="4" fontId="7" fillId="0" borderId="19" xfId="1" applyNumberFormat="1" applyFont="1" applyBorder="1" applyAlignment="1" applyProtection="1">
      <alignment horizontal="left" vertical="center" wrapText="1"/>
      <protection locked="0"/>
    </xf>
    <xf numFmtId="164" fontId="7" fillId="7" borderId="4" xfId="1" applyNumberFormat="1" applyFont="1" applyFill="1" applyBorder="1" applyAlignment="1" applyProtection="1">
      <alignment horizontal="left" vertical="center" wrapText="1"/>
      <protection locked="0"/>
    </xf>
    <xf numFmtId="164" fontId="7" fillId="2" borderId="54" xfId="1" applyNumberFormat="1" applyFont="1" applyFill="1" applyBorder="1" applyAlignment="1" applyProtection="1">
      <alignment horizontal="left" vertical="center" wrapText="1"/>
      <protection locked="0"/>
    </xf>
    <xf numFmtId="165" fontId="7" fillId="2" borderId="51" xfId="1" applyNumberFormat="1" applyFont="1" applyFill="1" applyBorder="1" applyAlignment="1" applyProtection="1">
      <alignment horizontal="right" vertical="center" wrapText="1"/>
      <protection locked="0"/>
    </xf>
    <xf numFmtId="164" fontId="59" fillId="7" borderId="48" xfId="1" applyNumberFormat="1" applyFont="1" applyFill="1" applyBorder="1" applyAlignment="1">
      <alignment vertical="center" wrapText="1"/>
    </xf>
    <xf numFmtId="164" fontId="59" fillId="8" borderId="52" xfId="1" applyNumberFormat="1" applyFont="1" applyFill="1" applyBorder="1" applyAlignment="1">
      <alignment vertical="center" wrapText="1"/>
    </xf>
    <xf numFmtId="164" fontId="59" fillId="6" borderId="51" xfId="1" applyNumberFormat="1" applyFont="1" applyFill="1" applyBorder="1" applyAlignment="1">
      <alignment vertical="center" wrapText="1"/>
    </xf>
    <xf numFmtId="164" fontId="59" fillId="9" borderId="48" xfId="1" applyNumberFormat="1" applyFont="1" applyFill="1" applyBorder="1" applyAlignment="1">
      <alignment wrapText="1"/>
    </xf>
    <xf numFmtId="164" fontId="59" fillId="10" borderId="52" xfId="1" applyNumberFormat="1" applyFont="1" applyFill="1" applyBorder="1" applyAlignment="1">
      <alignment vertical="center" wrapText="1"/>
    </xf>
    <xf numFmtId="164" fontId="5" fillId="0" borderId="0" xfId="1" applyNumberFormat="1" applyFont="1" applyAlignment="1" applyProtection="1">
      <alignment horizontal="center" vertical="center" wrapText="1"/>
      <protection locked="0"/>
    </xf>
    <xf numFmtId="4" fontId="6" fillId="2" borderId="1" xfId="1" applyNumberFormat="1" applyFont="1" applyFill="1" applyBorder="1" applyAlignment="1" applyProtection="1">
      <alignment horizontal="center" vertical="center"/>
      <protection locked="0"/>
    </xf>
    <xf numFmtId="4" fontId="6" fillId="3" borderId="1" xfId="1" applyNumberFormat="1" applyFont="1" applyFill="1" applyBorder="1" applyAlignment="1" applyProtection="1">
      <alignment horizontal="center" vertical="center" wrapText="1"/>
      <protection locked="0"/>
    </xf>
    <xf numFmtId="4" fontId="6" fillId="4" borderId="1" xfId="1" applyNumberFormat="1" applyFont="1" applyFill="1" applyBorder="1" applyAlignment="1" applyProtection="1">
      <alignment horizontal="center" vertical="center"/>
      <protection locked="0"/>
    </xf>
    <xf numFmtId="4" fontId="6" fillId="4" borderId="2" xfId="1" applyNumberFormat="1" applyFont="1" applyFill="1" applyBorder="1" applyAlignment="1" applyProtection="1">
      <alignment horizontal="center" vertical="center"/>
      <protection locked="0"/>
    </xf>
    <xf numFmtId="4" fontId="6" fillId="5" borderId="3" xfId="1" applyNumberFormat="1" applyFont="1" applyFill="1" applyBorder="1" applyAlignment="1" applyProtection="1">
      <alignment horizontal="center" vertical="center" wrapText="1"/>
      <protection locked="0"/>
    </xf>
    <xf numFmtId="4" fontId="6" fillId="5" borderId="1" xfId="1" applyNumberFormat="1" applyFont="1" applyFill="1" applyBorder="1" applyAlignment="1" applyProtection="1">
      <alignment horizontal="center" vertical="center" wrapText="1"/>
      <protection locked="0"/>
    </xf>
    <xf numFmtId="0" fontId="4" fillId="0" borderId="0" xfId="1" applyFont="1" applyAlignment="1">
      <alignment horizontal="center" vertical="center"/>
    </xf>
    <xf numFmtId="0" fontId="4" fillId="0" borderId="0" xfId="1" applyFont="1" applyAlignment="1">
      <alignment horizontal="center"/>
    </xf>
    <xf numFmtId="164" fontId="7" fillId="3" borderId="8" xfId="1" applyNumberFormat="1" applyFont="1" applyFill="1" applyBorder="1" applyAlignment="1" applyProtection="1">
      <alignment horizontal="left" vertical="center"/>
      <protection locked="0"/>
    </xf>
    <xf numFmtId="164" fontId="7" fillId="3" borderId="9" xfId="1" applyNumberFormat="1" applyFont="1" applyFill="1" applyBorder="1" applyAlignment="1" applyProtection="1">
      <alignment horizontal="left" vertical="center"/>
      <protection locked="0"/>
    </xf>
    <xf numFmtId="164" fontId="8" fillId="4" borderId="7" xfId="1" applyNumberFormat="1" applyFont="1" applyFill="1" applyBorder="1" applyAlignment="1" applyProtection="1">
      <alignment horizontal="center" vertical="center" wrapText="1"/>
      <protection locked="0"/>
    </xf>
    <xf numFmtId="164" fontId="8" fillId="4" borderId="14" xfId="1" applyNumberFormat="1" applyFont="1" applyFill="1" applyBorder="1" applyAlignment="1" applyProtection="1">
      <alignment horizontal="center" vertical="center" wrapText="1"/>
      <protection locked="0"/>
    </xf>
    <xf numFmtId="164" fontId="7" fillId="4" borderId="8" xfId="1" applyNumberFormat="1" applyFont="1" applyFill="1" applyBorder="1" applyAlignment="1" applyProtection="1">
      <alignment horizontal="left" vertical="center"/>
      <protection locked="0"/>
    </xf>
    <xf numFmtId="164" fontId="7" fillId="4" borderId="9" xfId="1" applyNumberFormat="1" applyFont="1" applyFill="1" applyBorder="1" applyAlignment="1" applyProtection="1">
      <alignment horizontal="left" vertical="center"/>
      <protection locked="0"/>
    </xf>
    <xf numFmtId="164" fontId="8" fillId="5" borderId="7" xfId="1" applyNumberFormat="1" applyFont="1" applyFill="1" applyBorder="1" applyAlignment="1" applyProtection="1">
      <alignment horizontal="center" vertical="center" wrapText="1"/>
      <protection locked="0"/>
    </xf>
    <xf numFmtId="164" fontId="8" fillId="5" borderId="14" xfId="1" applyNumberFormat="1" applyFont="1" applyFill="1" applyBorder="1" applyAlignment="1" applyProtection="1">
      <alignment horizontal="center" vertical="center" wrapText="1"/>
      <protection locked="0"/>
    </xf>
    <xf numFmtId="164" fontId="7" fillId="5" borderId="8" xfId="1" applyNumberFormat="1" applyFont="1" applyFill="1" applyBorder="1" applyAlignment="1" applyProtection="1">
      <alignment horizontal="left" vertical="center"/>
      <protection locked="0"/>
    </xf>
    <xf numFmtId="164" fontId="7" fillId="5" borderId="9" xfId="1" applyNumberFormat="1" applyFont="1" applyFill="1" applyBorder="1" applyAlignment="1" applyProtection="1">
      <alignment horizontal="left" vertical="center"/>
      <protection locked="0"/>
    </xf>
    <xf numFmtId="164" fontId="7" fillId="0" borderId="5" xfId="1" applyNumberFormat="1" applyFont="1" applyBorder="1" applyAlignment="1" applyProtection="1">
      <alignment horizontal="center" vertical="center" wrapText="1"/>
      <protection locked="0"/>
    </xf>
    <xf numFmtId="164" fontId="7" fillId="0" borderId="12" xfId="1" applyNumberFormat="1" applyFont="1" applyBorder="1" applyAlignment="1" applyProtection="1">
      <alignment horizontal="center" vertical="center" wrapText="1"/>
      <protection locked="0"/>
    </xf>
    <xf numFmtId="164" fontId="7" fillId="0" borderId="6" xfId="1" applyNumberFormat="1" applyFont="1" applyBorder="1" applyAlignment="1" applyProtection="1">
      <alignment horizontal="center" vertical="center" wrapText="1"/>
      <protection locked="0"/>
    </xf>
    <xf numFmtId="164" fontId="7" fillId="0" borderId="13" xfId="1" applyNumberFormat="1" applyFont="1" applyBorder="1" applyAlignment="1" applyProtection="1">
      <alignment horizontal="center" vertical="center" wrapText="1"/>
      <protection locked="0"/>
    </xf>
    <xf numFmtId="164" fontId="7" fillId="0" borderId="7" xfId="1" applyNumberFormat="1" applyFont="1" applyBorder="1" applyAlignment="1" applyProtection="1">
      <alignment horizontal="center" vertical="center" wrapText="1"/>
      <protection locked="0"/>
    </xf>
    <xf numFmtId="164" fontId="7" fillId="0" borderId="14" xfId="1" applyNumberFormat="1" applyFont="1" applyBorder="1" applyAlignment="1" applyProtection="1">
      <alignment horizontal="center" vertical="center" wrapText="1"/>
      <protection locked="0"/>
    </xf>
    <xf numFmtId="164" fontId="8" fillId="2" borderId="7" xfId="1" applyNumberFormat="1" applyFont="1" applyFill="1" applyBorder="1" applyAlignment="1" applyProtection="1">
      <alignment horizontal="center" vertical="center" wrapText="1"/>
      <protection locked="0"/>
    </xf>
    <xf numFmtId="164" fontId="8" fillId="2" borderId="14" xfId="1" applyNumberFormat="1" applyFont="1" applyFill="1" applyBorder="1" applyAlignment="1" applyProtection="1">
      <alignment horizontal="center" vertical="center" wrapText="1"/>
      <protection locked="0"/>
    </xf>
    <xf numFmtId="164" fontId="7" fillId="2" borderId="8" xfId="1" applyNumberFormat="1" applyFont="1" applyFill="1" applyBorder="1" applyAlignment="1" applyProtection="1">
      <alignment horizontal="left" vertical="center"/>
      <protection locked="0"/>
    </xf>
    <xf numFmtId="164" fontId="7" fillId="2" borderId="9" xfId="1" applyNumberFormat="1" applyFont="1" applyFill="1" applyBorder="1" applyAlignment="1" applyProtection="1">
      <alignment horizontal="left" vertical="center"/>
      <protection locked="0"/>
    </xf>
    <xf numFmtId="164" fontId="8" fillId="3" borderId="7" xfId="1" applyNumberFormat="1" applyFont="1" applyFill="1" applyBorder="1" applyAlignment="1" applyProtection="1">
      <alignment horizontal="center" vertical="center" wrapText="1"/>
      <protection locked="0"/>
    </xf>
    <xf numFmtId="164" fontId="8" fillId="3" borderId="14" xfId="1" applyNumberFormat="1" applyFont="1" applyFill="1" applyBorder="1" applyAlignment="1" applyProtection="1">
      <alignment horizontal="center" vertical="center" wrapText="1"/>
      <protection locked="0"/>
    </xf>
    <xf numFmtId="164" fontId="2" fillId="0" borderId="4" xfId="1" applyNumberFormat="1" applyFont="1" applyBorder="1" applyAlignment="1" applyProtection="1">
      <alignment horizontal="center" vertical="center" wrapText="1"/>
      <protection locked="0"/>
    </xf>
    <xf numFmtId="164" fontId="2" fillId="0" borderId="11" xfId="1" applyNumberFormat="1" applyFont="1" applyBorder="1" applyAlignment="1" applyProtection="1">
      <alignment horizontal="center" vertical="center" wrapText="1"/>
      <protection locked="0"/>
    </xf>
    <xf numFmtId="164" fontId="2" fillId="0" borderId="5" xfId="1" applyNumberFormat="1" applyFont="1" applyBorder="1" applyAlignment="1" applyProtection="1">
      <alignment horizontal="center" vertical="center" wrapText="1"/>
      <protection locked="0"/>
    </xf>
    <xf numFmtId="164" fontId="2" fillId="0" borderId="12" xfId="1" applyNumberFormat="1" applyFont="1" applyBorder="1" applyAlignment="1" applyProtection="1">
      <alignment horizontal="center" vertical="center" wrapText="1"/>
      <protection locked="0"/>
    </xf>
    <xf numFmtId="164" fontId="7" fillId="6" borderId="5" xfId="1" applyNumberFormat="1" applyFont="1" applyFill="1" applyBorder="1" applyAlignment="1" applyProtection="1">
      <alignment horizontal="left" vertical="center" wrapText="1"/>
      <protection locked="0"/>
    </xf>
    <xf numFmtId="164" fontId="7" fillId="6" borderId="39" xfId="1" applyNumberFormat="1" applyFont="1" applyFill="1" applyBorder="1" applyAlignment="1" applyProtection="1">
      <alignment horizontal="left" vertical="center" wrapText="1"/>
      <protection locked="0"/>
    </xf>
    <xf numFmtId="164" fontId="7" fillId="2" borderId="6" xfId="1" applyNumberFormat="1" applyFont="1" applyFill="1" applyBorder="1" applyAlignment="1" applyProtection="1">
      <alignment horizontal="right" vertical="center" wrapText="1"/>
      <protection locked="0"/>
    </xf>
    <xf numFmtId="164" fontId="7" fillId="2" borderId="40" xfId="1" applyNumberFormat="1" applyFont="1" applyFill="1" applyBorder="1" applyAlignment="1" applyProtection="1">
      <alignment horizontal="right" vertical="center" wrapText="1"/>
      <protection locked="0"/>
    </xf>
    <xf numFmtId="164" fontId="13" fillId="0" borderId="19" xfId="1" quotePrefix="1" applyNumberFormat="1" applyFont="1" applyBorder="1" applyAlignment="1" applyProtection="1">
      <alignment horizontal="center" vertical="center" wrapText="1"/>
      <protection locked="0"/>
    </xf>
    <xf numFmtId="164" fontId="13" fillId="0" borderId="38" xfId="1" quotePrefix="1" applyNumberFormat="1" applyFont="1" applyBorder="1" applyAlignment="1" applyProtection="1">
      <alignment horizontal="center" vertical="center" wrapText="1"/>
      <protection locked="0"/>
    </xf>
    <xf numFmtId="164" fontId="13" fillId="0" borderId="16" xfId="1" applyNumberFormat="1" applyFont="1" applyBorder="1" applyAlignment="1" applyProtection="1">
      <alignment horizontal="center" vertical="center" wrapText="1"/>
      <protection locked="0"/>
    </xf>
    <xf numFmtId="164" fontId="13" fillId="0" borderId="39" xfId="1" applyNumberFormat="1" applyFont="1" applyBorder="1" applyAlignment="1" applyProtection="1">
      <alignment horizontal="center" vertical="center" wrapText="1"/>
      <protection locked="0"/>
    </xf>
    <xf numFmtId="164" fontId="13" fillId="0" borderId="16" xfId="1" applyNumberFormat="1" applyFont="1" applyBorder="1" applyAlignment="1" applyProtection="1">
      <alignment horizontal="left" vertical="center" wrapText="1"/>
      <protection locked="0"/>
    </xf>
    <xf numFmtId="164" fontId="13" fillId="0" borderId="39" xfId="1" applyNumberFormat="1" applyFont="1" applyBorder="1" applyAlignment="1" applyProtection="1">
      <alignment horizontal="left" vertical="center" wrapText="1"/>
      <protection locked="0"/>
    </xf>
    <xf numFmtId="164" fontId="7" fillId="2" borderId="16" xfId="1" applyNumberFormat="1" applyFont="1" applyFill="1" applyBorder="1" applyAlignment="1" applyProtection="1">
      <alignment horizontal="left" vertical="center" wrapText="1"/>
      <protection locked="0"/>
    </xf>
    <xf numFmtId="164" fontId="7" fillId="2" borderId="39" xfId="1" applyNumberFormat="1" applyFont="1" applyFill="1" applyBorder="1" applyAlignment="1" applyProtection="1">
      <alignment horizontal="left" vertical="center" wrapText="1"/>
      <protection locked="0"/>
    </xf>
    <xf numFmtId="164" fontId="7" fillId="2" borderId="17" xfId="1" applyNumberFormat="1" applyFont="1" applyFill="1" applyBorder="1" applyAlignment="1" applyProtection="1">
      <alignment horizontal="right" vertical="center" wrapText="1"/>
      <protection locked="0"/>
    </xf>
    <xf numFmtId="164" fontId="13" fillId="0" borderId="4" xfId="1" quotePrefix="1" applyNumberFormat="1" applyFont="1" applyBorder="1" applyAlignment="1" applyProtection="1">
      <alignment horizontal="center" vertical="center" wrapText="1"/>
      <protection locked="0"/>
    </xf>
    <xf numFmtId="164" fontId="13" fillId="0" borderId="5" xfId="1" applyNumberFormat="1" applyFont="1" applyBorder="1" applyAlignment="1" applyProtection="1">
      <alignment horizontal="center" vertical="center" wrapText="1"/>
      <protection locked="0"/>
    </xf>
    <xf numFmtId="164" fontId="13" fillId="0" borderId="5" xfId="1" applyNumberFormat="1" applyFont="1" applyBorder="1" applyAlignment="1" applyProtection="1">
      <alignment horizontal="left" vertical="center" wrapText="1"/>
      <protection locked="0"/>
    </xf>
    <xf numFmtId="164" fontId="13" fillId="0" borderId="4" xfId="1" quotePrefix="1" applyNumberFormat="1" applyFont="1" applyBorder="1" applyAlignment="1" applyProtection="1">
      <alignment horizontal="left" vertical="center" wrapText="1"/>
      <protection locked="0"/>
    </xf>
    <xf numFmtId="164" fontId="13" fillId="0" borderId="11" xfId="1" quotePrefix="1" applyNumberFormat="1" applyFont="1" applyBorder="1" applyAlignment="1" applyProtection="1">
      <alignment horizontal="left" vertical="center" wrapText="1"/>
      <protection locked="0"/>
    </xf>
    <xf numFmtId="164" fontId="13" fillId="0" borderId="5" xfId="1" quotePrefix="1" applyNumberFormat="1" applyFont="1" applyBorder="1" applyAlignment="1" applyProtection="1">
      <alignment horizontal="center" vertical="center" wrapText="1"/>
      <protection locked="0"/>
    </xf>
    <xf numFmtId="164" fontId="13" fillId="0" borderId="12" xfId="1" quotePrefix="1" applyNumberFormat="1" applyFont="1" applyBorder="1" applyAlignment="1" applyProtection="1">
      <alignment horizontal="center" vertical="center" wrapText="1"/>
      <protection locked="0"/>
    </xf>
    <xf numFmtId="164" fontId="7" fillId="2" borderId="5" xfId="1" applyNumberFormat="1" applyFont="1" applyFill="1" applyBorder="1" applyAlignment="1" applyProtection="1">
      <alignment horizontal="left" vertical="center" wrapText="1"/>
      <protection locked="0"/>
    </xf>
    <xf numFmtId="164" fontId="7" fillId="2" borderId="12" xfId="1" applyNumberFormat="1" applyFont="1" applyFill="1" applyBorder="1" applyAlignment="1" applyProtection="1">
      <alignment horizontal="left" vertical="center" wrapText="1"/>
      <protection locked="0"/>
    </xf>
    <xf numFmtId="164" fontId="7" fillId="2" borderId="13" xfId="1" applyNumberFormat="1" applyFont="1" applyFill="1" applyBorder="1" applyAlignment="1" applyProtection="1">
      <alignment horizontal="right" vertical="center" wrapText="1"/>
      <protection locked="0"/>
    </xf>
    <xf numFmtId="164" fontId="13" fillId="0" borderId="16" xfId="1" quotePrefix="1" applyNumberFormat="1" applyFont="1" applyBorder="1" applyAlignment="1" applyProtection="1">
      <alignment horizontal="left" vertical="center" wrapText="1"/>
      <protection locked="0"/>
    </xf>
    <xf numFmtId="164" fontId="13" fillId="0" borderId="39" xfId="1" quotePrefix="1" applyNumberFormat="1" applyFont="1" applyBorder="1" applyAlignment="1" applyProtection="1">
      <alignment horizontal="left" vertical="center" wrapText="1"/>
      <protection locked="0"/>
    </xf>
    <xf numFmtId="164" fontId="7" fillId="2" borderId="17" xfId="1" quotePrefix="1" applyNumberFormat="1" applyFont="1" applyFill="1" applyBorder="1" applyAlignment="1" applyProtection="1">
      <alignment horizontal="right" vertical="center" wrapText="1"/>
      <protection locked="0"/>
    </xf>
    <xf numFmtId="164" fontId="7" fillId="2" borderId="40" xfId="1" quotePrefix="1" applyNumberFormat="1" applyFont="1" applyFill="1" applyBorder="1" applyAlignment="1" applyProtection="1">
      <alignment horizontal="right" vertical="center" wrapText="1"/>
      <protection locked="0"/>
    </xf>
    <xf numFmtId="49" fontId="21" fillId="0" borderId="16" xfId="1" applyNumberFormat="1" applyFont="1" applyBorder="1" applyAlignment="1" applyProtection="1">
      <alignment horizontal="left" vertical="center" wrapText="1"/>
      <protection locked="0"/>
    </xf>
    <xf numFmtId="49" fontId="21" fillId="0" borderId="39" xfId="1" applyNumberFormat="1" applyFont="1" applyBorder="1" applyAlignment="1" applyProtection="1">
      <alignment horizontal="left" vertical="center" wrapText="1"/>
      <protection locked="0"/>
    </xf>
    <xf numFmtId="4" fontId="7" fillId="2" borderId="16" xfId="1" applyNumberFormat="1" applyFont="1" applyFill="1" applyBorder="1" applyAlignment="1" applyProtection="1">
      <alignment horizontal="left" vertical="top" wrapText="1"/>
      <protection locked="0"/>
    </xf>
    <xf numFmtId="4" fontId="7" fillId="2" borderId="39" xfId="1" applyNumberFormat="1" applyFont="1" applyFill="1" applyBorder="1" applyAlignment="1" applyProtection="1">
      <alignment horizontal="left" vertical="top" wrapText="1"/>
      <protection locked="0"/>
    </xf>
    <xf numFmtId="49" fontId="7" fillId="2" borderId="17" xfId="1" applyNumberFormat="1" applyFont="1" applyFill="1" applyBorder="1" applyAlignment="1" applyProtection="1">
      <alignment horizontal="right" vertical="center" wrapText="1"/>
      <protection locked="0"/>
    </xf>
    <xf numFmtId="49" fontId="7" fillId="2" borderId="40" xfId="1" applyNumberFormat="1" applyFont="1" applyFill="1" applyBorder="1" applyAlignment="1" applyProtection="1">
      <alignment horizontal="right" vertical="center" wrapText="1"/>
      <protection locked="0"/>
    </xf>
    <xf numFmtId="164" fontId="13" fillId="0" borderId="4" xfId="1" applyNumberFormat="1" applyFont="1" applyBorder="1" applyAlignment="1" applyProtection="1">
      <alignment horizontal="left" vertical="center" wrapText="1"/>
      <protection locked="0"/>
    </xf>
    <xf numFmtId="164" fontId="13" fillId="0" borderId="11" xfId="1" applyNumberFormat="1" applyFont="1" applyBorder="1" applyAlignment="1" applyProtection="1">
      <alignment horizontal="left" vertical="center" wrapText="1"/>
      <protection locked="0"/>
    </xf>
    <xf numFmtId="164" fontId="13" fillId="0" borderId="12" xfId="1" applyNumberFormat="1" applyFont="1" applyBorder="1" applyAlignment="1" applyProtection="1">
      <alignment horizontal="left" vertical="center" wrapText="1"/>
      <protection locked="0"/>
    </xf>
    <xf numFmtId="164" fontId="7" fillId="6" borderId="16" xfId="1" applyNumberFormat="1" applyFont="1" applyFill="1" applyBorder="1" applyAlignment="1" applyProtection="1">
      <alignment horizontal="left" vertical="center" wrapText="1"/>
      <protection locked="0"/>
    </xf>
    <xf numFmtId="164" fontId="13" fillId="0" borderId="11" xfId="1" quotePrefix="1" applyNumberFormat="1" applyFont="1" applyBorder="1" applyAlignment="1" applyProtection="1">
      <alignment horizontal="center" vertical="center" wrapText="1"/>
      <protection locked="0"/>
    </xf>
    <xf numFmtId="164" fontId="13" fillId="0" borderId="12" xfId="1" applyNumberFormat="1" applyFont="1" applyBorder="1" applyAlignment="1" applyProtection="1">
      <alignment horizontal="center" vertical="center" wrapText="1"/>
      <protection locked="0"/>
    </xf>
    <xf numFmtId="164" fontId="15" fillId="0" borderId="16" xfId="1" applyNumberFormat="1" applyFont="1" applyBorder="1" applyAlignment="1" applyProtection="1">
      <alignment horizontal="left" vertical="center" wrapText="1"/>
      <protection locked="0"/>
    </xf>
    <xf numFmtId="164" fontId="15" fillId="0" borderId="39" xfId="1" applyNumberFormat="1" applyFont="1" applyBorder="1" applyAlignment="1" applyProtection="1">
      <alignment horizontal="left" vertical="center" wrapText="1"/>
      <protection locked="0"/>
    </xf>
    <xf numFmtId="164" fontId="15" fillId="0" borderId="17" xfId="1" applyNumberFormat="1" applyFont="1" applyBorder="1" applyAlignment="1" applyProtection="1">
      <alignment horizontal="right" vertical="center" wrapText="1"/>
      <protection locked="0"/>
    </xf>
    <xf numFmtId="164" fontId="15" fillId="0" borderId="40" xfId="1" applyNumberFormat="1" applyFont="1" applyBorder="1" applyAlignment="1" applyProtection="1">
      <alignment horizontal="right" vertical="center" wrapText="1"/>
      <protection locked="0"/>
    </xf>
    <xf numFmtId="164" fontId="13" fillId="0" borderId="19" xfId="1" applyNumberFormat="1" applyFont="1" applyBorder="1" applyAlignment="1" applyProtection="1">
      <alignment horizontal="center" vertical="center" wrapText="1"/>
      <protection locked="0"/>
    </xf>
    <xf numFmtId="164" fontId="13" fillId="0" borderId="38" xfId="1" applyNumberFormat="1" applyFont="1" applyBorder="1" applyAlignment="1" applyProtection="1">
      <alignment horizontal="center" vertical="center" wrapText="1"/>
      <protection locked="0"/>
    </xf>
    <xf numFmtId="164" fontId="2" fillId="0" borderId="16" xfId="1" applyNumberFormat="1" applyFont="1" applyBorder="1" applyAlignment="1" applyProtection="1">
      <alignment horizontal="left" vertical="center" wrapText="1"/>
      <protection locked="0"/>
    </xf>
    <xf numFmtId="164" fontId="2" fillId="0" borderId="39" xfId="1" applyNumberFormat="1" applyFont="1" applyBorder="1" applyAlignment="1" applyProtection="1">
      <alignment horizontal="left" vertical="center" wrapText="1"/>
      <protection locked="0"/>
    </xf>
    <xf numFmtId="164" fontId="7" fillId="7" borderId="17" xfId="1" applyNumberFormat="1" applyFont="1" applyFill="1" applyBorder="1" applyAlignment="1" applyProtection="1">
      <alignment horizontal="right" vertical="center" wrapText="1"/>
      <protection locked="0"/>
    </xf>
    <xf numFmtId="164" fontId="7" fillId="7" borderId="40" xfId="1" applyNumberFormat="1" applyFont="1" applyFill="1" applyBorder="1" applyAlignment="1" applyProtection="1">
      <alignment horizontal="right" vertical="center" wrapText="1"/>
      <protection locked="0"/>
    </xf>
    <xf numFmtId="164" fontId="7" fillId="7" borderId="16" xfId="1" applyNumberFormat="1" applyFont="1" applyFill="1" applyBorder="1" applyAlignment="1" applyProtection="1">
      <alignment horizontal="left" vertical="center" wrapText="1"/>
      <protection locked="0"/>
    </xf>
    <xf numFmtId="164" fontId="7" fillId="7" borderId="39" xfId="1" applyNumberFormat="1" applyFont="1" applyFill="1" applyBorder="1" applyAlignment="1" applyProtection="1">
      <alignment horizontal="left" vertical="center" wrapText="1"/>
      <protection locked="0"/>
    </xf>
    <xf numFmtId="164" fontId="2" fillId="0" borderId="16" xfId="1" quotePrefix="1" applyNumberFormat="1" applyFont="1" applyBorder="1" applyAlignment="1" applyProtection="1">
      <alignment horizontal="left" vertical="center" wrapText="1"/>
      <protection locked="0"/>
    </xf>
    <xf numFmtId="164" fontId="2" fillId="0" borderId="39" xfId="1" quotePrefix="1" applyNumberFormat="1" applyFont="1" applyBorder="1" applyAlignment="1" applyProtection="1">
      <alignment horizontal="left" vertical="center" wrapText="1"/>
      <protection locked="0"/>
    </xf>
    <xf numFmtId="164" fontId="2" fillId="0" borderId="16" xfId="1" applyNumberFormat="1" applyFont="1" applyBorder="1" applyAlignment="1" applyProtection="1">
      <alignment horizontal="center" vertical="center" wrapText="1"/>
      <protection locked="0"/>
    </xf>
    <xf numFmtId="164" fontId="2" fillId="0" borderId="39" xfId="1" applyNumberFormat="1" applyFont="1" applyBorder="1" applyAlignment="1" applyProtection="1">
      <alignment horizontal="center" vertical="center" wrapText="1"/>
      <protection locked="0"/>
    </xf>
    <xf numFmtId="164" fontId="2" fillId="0" borderId="16" xfId="1" quotePrefix="1" applyNumberFormat="1" applyFont="1" applyBorder="1" applyAlignment="1" applyProtection="1">
      <alignment horizontal="center" vertical="center" wrapText="1"/>
      <protection locked="0"/>
    </xf>
    <xf numFmtId="164" fontId="2" fillId="0" borderId="39" xfId="1" quotePrefix="1" applyNumberFormat="1" applyFont="1" applyBorder="1" applyAlignment="1" applyProtection="1">
      <alignment horizontal="center" vertical="center" wrapText="1"/>
      <protection locked="0"/>
    </xf>
    <xf numFmtId="164" fontId="15" fillId="0" borderId="12" xfId="1" applyNumberFormat="1" applyFont="1" applyBorder="1" applyAlignment="1" applyProtection="1">
      <alignment horizontal="left" vertical="center" wrapText="1"/>
      <protection locked="0"/>
    </xf>
    <xf numFmtId="164" fontId="15" fillId="0" borderId="17" xfId="1" quotePrefix="1" applyNumberFormat="1" applyFont="1" applyBorder="1" applyAlignment="1" applyProtection="1">
      <alignment horizontal="right" vertical="center" wrapText="1"/>
      <protection locked="0"/>
    </xf>
    <xf numFmtId="164" fontId="15" fillId="0" borderId="13" xfId="1" quotePrefix="1" applyNumberFormat="1" applyFont="1" applyBorder="1" applyAlignment="1" applyProtection="1">
      <alignment horizontal="right" vertical="center" wrapText="1"/>
      <protection locked="0"/>
    </xf>
    <xf numFmtId="164" fontId="2" fillId="0" borderId="38" xfId="1" applyNumberFormat="1" applyFont="1" applyBorder="1" applyAlignment="1" applyProtection="1">
      <alignment horizontal="center" vertical="center" wrapText="1"/>
      <protection locked="0"/>
    </xf>
    <xf numFmtId="164" fontId="2" fillId="0" borderId="5" xfId="1" quotePrefix="1" applyNumberFormat="1" applyFont="1" applyBorder="1" applyAlignment="1" applyProtection="1">
      <alignment horizontal="center" vertical="center" wrapText="1"/>
      <protection locked="0"/>
    </xf>
    <xf numFmtId="164" fontId="7" fillId="7" borderId="6" xfId="1" applyNumberFormat="1" applyFont="1" applyFill="1" applyBorder="1" applyAlignment="1" applyProtection="1">
      <alignment horizontal="right" vertical="center" wrapText="1"/>
      <protection locked="0"/>
    </xf>
    <xf numFmtId="164" fontId="13" fillId="0" borderId="11" xfId="1" applyNumberFormat="1" applyFont="1" applyBorder="1" applyAlignment="1" applyProtection="1">
      <alignment horizontal="center" vertical="center" wrapText="1"/>
      <protection locked="0"/>
    </xf>
    <xf numFmtId="164" fontId="2" fillId="0" borderId="12" xfId="1" quotePrefix="1" applyNumberFormat="1" applyFont="1" applyBorder="1" applyAlignment="1" applyProtection="1">
      <alignment horizontal="left" vertical="center" wrapText="1"/>
      <protection locked="0"/>
    </xf>
    <xf numFmtId="164" fontId="7" fillId="0" borderId="16" xfId="1" applyNumberFormat="1" applyFont="1" applyBorder="1" applyAlignment="1" applyProtection="1">
      <alignment horizontal="left" vertical="center" wrapText="1"/>
      <protection locked="0"/>
    </xf>
    <xf numFmtId="164" fontId="7" fillId="0" borderId="39" xfId="1" applyNumberFormat="1" applyFont="1" applyBorder="1" applyAlignment="1" applyProtection="1">
      <alignment horizontal="left" vertical="center" wrapText="1"/>
      <protection locked="0"/>
    </xf>
    <xf numFmtId="164" fontId="15" fillId="0" borderId="40" xfId="1" quotePrefix="1" applyNumberFormat="1" applyFont="1" applyBorder="1" applyAlignment="1" applyProtection="1">
      <alignment horizontal="right" vertical="center" wrapText="1"/>
      <protection locked="0"/>
    </xf>
    <xf numFmtId="164" fontId="2" fillId="0" borderId="12" xfId="1" applyNumberFormat="1" applyFont="1" applyBorder="1" applyAlignment="1" applyProtection="1">
      <alignment horizontal="left" vertical="center" wrapText="1"/>
      <protection locked="0"/>
    </xf>
    <xf numFmtId="164" fontId="15" fillId="0" borderId="13" xfId="1" applyNumberFormat="1" applyFont="1" applyBorder="1" applyAlignment="1" applyProtection="1">
      <alignment horizontal="right" vertical="center" wrapText="1"/>
      <protection locked="0"/>
    </xf>
    <xf numFmtId="4" fontId="7" fillId="0" borderId="16" xfId="1" applyNumberFormat="1" applyFont="1" applyBorder="1" applyAlignment="1" applyProtection="1">
      <alignment horizontal="left" vertical="center" wrapText="1"/>
      <protection locked="0"/>
    </xf>
    <xf numFmtId="4" fontId="7" fillId="0" borderId="12" xfId="1" applyNumberFormat="1" applyFont="1" applyBorder="1" applyAlignment="1" applyProtection="1">
      <alignment horizontal="left" vertical="center" wrapText="1"/>
      <protection locked="0"/>
    </xf>
    <xf numFmtId="4" fontId="15" fillId="0" borderId="17" xfId="1" applyNumberFormat="1" applyFont="1" applyBorder="1" applyAlignment="1" applyProtection="1">
      <alignment horizontal="right" vertical="center" wrapText="1"/>
      <protection locked="0"/>
    </xf>
    <xf numFmtId="4" fontId="15" fillId="0" borderId="13" xfId="1" applyNumberFormat="1" applyFont="1" applyBorder="1" applyAlignment="1" applyProtection="1">
      <alignment horizontal="right" vertical="center" wrapText="1"/>
      <protection locked="0"/>
    </xf>
    <xf numFmtId="49" fontId="1" fillId="0" borderId="4" xfId="1" applyNumberFormat="1" applyBorder="1" applyAlignment="1" applyProtection="1">
      <alignment horizontal="center" wrapText="1"/>
      <protection locked="0"/>
    </xf>
    <xf numFmtId="49" fontId="1" fillId="0" borderId="38" xfId="1" applyNumberFormat="1" applyBorder="1" applyAlignment="1" applyProtection="1">
      <alignment horizontal="center" wrapText="1"/>
      <protection locked="0"/>
    </xf>
    <xf numFmtId="49" fontId="1" fillId="0" borderId="5" xfId="1" applyNumberFormat="1" applyBorder="1" applyAlignment="1" applyProtection="1">
      <alignment horizontal="center" wrapText="1"/>
      <protection locked="0"/>
    </xf>
    <xf numFmtId="49" fontId="1" fillId="0" borderId="39" xfId="1" applyNumberFormat="1" applyBorder="1" applyAlignment="1" applyProtection="1">
      <alignment horizontal="center" wrapText="1"/>
      <protection locked="0"/>
    </xf>
    <xf numFmtId="164" fontId="13" fillId="0" borderId="5" xfId="1" quotePrefix="1" applyNumberFormat="1" applyFont="1" applyBorder="1" applyAlignment="1" applyProtection="1">
      <alignment horizontal="left" vertical="center" wrapText="1"/>
      <protection locked="0"/>
    </xf>
    <xf numFmtId="164" fontId="7" fillId="2" borderId="6" xfId="1" quotePrefix="1" applyNumberFormat="1" applyFont="1" applyFill="1" applyBorder="1" applyAlignment="1" applyProtection="1">
      <alignment horizontal="right" vertical="center" wrapText="1"/>
      <protection locked="0"/>
    </xf>
    <xf numFmtId="49" fontId="1" fillId="0" borderId="19" xfId="1" applyNumberFormat="1" applyBorder="1" applyAlignment="1" applyProtection="1">
      <alignment horizontal="center" wrapText="1"/>
      <protection locked="0"/>
    </xf>
    <xf numFmtId="49" fontId="1" fillId="0" borderId="11" xfId="1" applyNumberFormat="1" applyBorder="1" applyAlignment="1" applyProtection="1">
      <alignment horizontal="center" wrapText="1"/>
      <protection locked="0"/>
    </xf>
    <xf numFmtId="49" fontId="1" fillId="0" borderId="16" xfId="1" applyNumberFormat="1" applyBorder="1" applyAlignment="1" applyProtection="1">
      <alignment horizontal="center" wrapText="1"/>
      <protection locked="0"/>
    </xf>
    <xf numFmtId="49" fontId="1" fillId="0" borderId="12" xfId="1" applyNumberFormat="1" applyBorder="1" applyAlignment="1" applyProtection="1">
      <alignment horizontal="center" wrapText="1"/>
      <protection locked="0"/>
    </xf>
    <xf numFmtId="4" fontId="7" fillId="2" borderId="5" xfId="1" applyNumberFormat="1" applyFont="1" applyFill="1" applyBorder="1" applyAlignment="1" applyProtection="1">
      <alignment horizontal="left" vertical="center" wrapText="1"/>
      <protection locked="0"/>
    </xf>
    <xf numFmtId="4" fontId="7" fillId="2" borderId="39" xfId="1" applyNumberFormat="1" applyFont="1" applyFill="1" applyBorder="1" applyAlignment="1" applyProtection="1">
      <alignment horizontal="left" vertical="center" wrapText="1"/>
      <protection locked="0"/>
    </xf>
    <xf numFmtId="49" fontId="7" fillId="2" borderId="6" xfId="1" applyNumberFormat="1" applyFont="1" applyFill="1" applyBorder="1" applyAlignment="1" applyProtection="1">
      <alignment horizontal="right" vertical="center" wrapText="1"/>
      <protection locked="0"/>
    </xf>
    <xf numFmtId="49" fontId="1" fillId="0" borderId="16" xfId="1" applyNumberFormat="1" applyBorder="1" applyAlignment="1" applyProtection="1">
      <alignment horizontal="left" vertical="center" wrapText="1"/>
      <protection locked="0"/>
    </xf>
    <xf numFmtId="49" fontId="1" fillId="0" borderId="39" xfId="1" applyNumberFormat="1" applyBorder="1" applyAlignment="1" applyProtection="1">
      <alignment horizontal="left" vertical="center" wrapText="1"/>
      <protection locked="0"/>
    </xf>
    <xf numFmtId="4" fontId="7" fillId="0" borderId="39" xfId="1" applyNumberFormat="1" applyFont="1" applyBorder="1" applyAlignment="1" applyProtection="1">
      <alignment horizontal="left" vertical="center" wrapText="1"/>
      <protection locked="0"/>
    </xf>
    <xf numFmtId="4" fontId="15" fillId="0" borderId="40" xfId="1" applyNumberFormat="1" applyFont="1" applyBorder="1" applyAlignment="1" applyProtection="1">
      <alignment horizontal="right" vertical="center" wrapText="1"/>
      <protection locked="0"/>
    </xf>
    <xf numFmtId="164" fontId="13" fillId="0" borderId="4" xfId="1" applyNumberFormat="1" applyFont="1" applyBorder="1" applyAlignment="1" applyProtection="1">
      <alignment horizontal="center" vertical="center" wrapText="1"/>
      <protection locked="0"/>
    </xf>
    <xf numFmtId="49" fontId="21" fillId="0" borderId="5" xfId="1" applyNumberFormat="1" applyFont="1" applyBorder="1" applyAlignment="1" applyProtection="1">
      <alignment horizontal="left" vertical="center" wrapText="1"/>
      <protection locked="0"/>
    </xf>
    <xf numFmtId="49" fontId="1" fillId="0" borderId="5" xfId="1" applyNumberFormat="1" applyBorder="1" applyAlignment="1" applyProtection="1">
      <alignment horizontal="left" vertical="center" wrapText="1"/>
      <protection locked="0"/>
    </xf>
    <xf numFmtId="164" fontId="2" fillId="0" borderId="19" xfId="1" applyNumberFormat="1" applyFont="1" applyBorder="1" applyAlignment="1" applyProtection="1">
      <alignment horizontal="center" vertical="center" wrapText="1"/>
      <protection locked="0"/>
    </xf>
    <xf numFmtId="164" fontId="2" fillId="0" borderId="19" xfId="1" quotePrefix="1" applyNumberFormat="1" applyFont="1" applyBorder="1" applyAlignment="1" applyProtection="1">
      <alignment horizontal="center" vertical="center" wrapText="1"/>
      <protection locked="0"/>
    </xf>
    <xf numFmtId="164" fontId="2" fillId="0" borderId="38" xfId="1" quotePrefix="1" applyNumberFormat="1" applyFont="1" applyBorder="1" applyAlignment="1" applyProtection="1">
      <alignment horizontal="center" vertical="center" wrapText="1"/>
      <protection locked="0"/>
    </xf>
    <xf numFmtId="164" fontId="13" fillId="0" borderId="16" xfId="1" quotePrefix="1" applyNumberFormat="1" applyFont="1" applyBorder="1" applyAlignment="1" applyProtection="1">
      <alignment horizontal="center" vertical="center" wrapText="1"/>
      <protection locked="0"/>
    </xf>
    <xf numFmtId="164" fontId="13" fillId="0" borderId="39" xfId="1" quotePrefix="1" applyNumberFormat="1" applyFont="1" applyBorder="1" applyAlignment="1" applyProtection="1">
      <alignment horizontal="center" vertical="center" wrapText="1"/>
      <protection locked="0"/>
    </xf>
    <xf numFmtId="164" fontId="15" fillId="0" borderId="46" xfId="1" applyNumberFormat="1" applyFont="1" applyBorder="1" applyAlignment="1" applyProtection="1">
      <alignment horizontal="left" vertical="center" wrapText="1"/>
      <protection locked="0"/>
    </xf>
    <xf numFmtId="164" fontId="15" fillId="0" borderId="63" xfId="1" quotePrefix="1" applyNumberFormat="1" applyFont="1" applyBorder="1" applyAlignment="1" applyProtection="1">
      <alignment horizontal="right" vertical="center" wrapText="1"/>
      <protection locked="0"/>
    </xf>
    <xf numFmtId="164" fontId="13" fillId="0" borderId="12" xfId="1" quotePrefix="1" applyNumberFormat="1" applyFont="1" applyBorder="1" applyAlignment="1" applyProtection="1">
      <alignment horizontal="left" vertical="center" wrapText="1"/>
      <protection locked="0"/>
    </xf>
    <xf numFmtId="164" fontId="2" fillId="0" borderId="45" xfId="1" applyNumberFormat="1" applyFont="1" applyBorder="1" applyAlignment="1" applyProtection="1">
      <alignment horizontal="center" vertical="center" wrapText="1"/>
      <protection locked="0"/>
    </xf>
    <xf numFmtId="164" fontId="13" fillId="0" borderId="46" xfId="1" quotePrefix="1" applyNumberFormat="1" applyFont="1" applyBorder="1" applyAlignment="1" applyProtection="1">
      <alignment horizontal="center" vertical="center" wrapText="1"/>
      <protection locked="0"/>
    </xf>
    <xf numFmtId="164" fontId="13" fillId="0" borderId="46" xfId="1" quotePrefix="1" applyNumberFormat="1" applyFont="1" applyBorder="1" applyAlignment="1" applyProtection="1">
      <alignment horizontal="left" vertical="center" wrapText="1"/>
      <protection locked="0"/>
    </xf>
    <xf numFmtId="164" fontId="7" fillId="7" borderId="5" xfId="1" applyNumberFormat="1" applyFont="1" applyFill="1" applyBorder="1" applyAlignment="1" applyProtection="1">
      <alignment horizontal="left" vertical="center" wrapText="1"/>
      <protection locked="0"/>
    </xf>
    <xf numFmtId="165" fontId="7" fillId="2" borderId="17" xfId="1" applyNumberFormat="1" applyFont="1" applyFill="1" applyBorder="1" applyAlignment="1" applyProtection="1">
      <alignment horizontal="right" vertical="center" wrapText="1"/>
      <protection locked="0"/>
    </xf>
    <xf numFmtId="165" fontId="7" fillId="2" borderId="13" xfId="1" applyNumberFormat="1" applyFont="1" applyFill="1" applyBorder="1" applyAlignment="1" applyProtection="1">
      <alignment horizontal="right" vertical="center" wrapText="1"/>
      <protection locked="0"/>
    </xf>
    <xf numFmtId="4" fontId="7" fillId="0" borderId="0" xfId="1" applyNumberFormat="1" applyFont="1" applyAlignment="1" applyProtection="1">
      <alignment horizontal="center"/>
      <protection locked="0"/>
    </xf>
    <xf numFmtId="0" fontId="29" fillId="0" borderId="0" xfId="1" applyFont="1" applyAlignment="1">
      <alignment horizontal="center" vertical="center"/>
    </xf>
    <xf numFmtId="4" fontId="7" fillId="20" borderId="0" xfId="1" applyNumberFormat="1" applyFont="1" applyFill="1" applyAlignment="1" applyProtection="1">
      <alignment horizontal="center" vertical="center" wrapText="1"/>
      <protection locked="0"/>
    </xf>
    <xf numFmtId="164" fontId="13" fillId="0" borderId="0" xfId="1" applyNumberFormat="1" applyFont="1" applyAlignment="1" applyProtection="1">
      <alignment horizontal="center"/>
      <protection locked="0"/>
    </xf>
    <xf numFmtId="164" fontId="13" fillId="0" borderId="0" xfId="1" applyNumberFormat="1" applyFont="1" applyAlignment="1" applyProtection="1">
      <alignment horizontal="center" vertical="center"/>
      <protection locked="0"/>
    </xf>
    <xf numFmtId="164" fontId="7" fillId="0" borderId="12" xfId="1" applyNumberFormat="1" applyFont="1" applyBorder="1" applyAlignment="1" applyProtection="1">
      <alignment horizontal="left" vertical="center" wrapText="1"/>
      <protection locked="0"/>
    </xf>
    <xf numFmtId="164" fontId="2" fillId="0" borderId="5" xfId="1" applyNumberFormat="1" applyFont="1" applyBorder="1" applyAlignment="1" applyProtection="1">
      <alignment horizontal="left" vertical="center" wrapText="1"/>
      <protection locked="0"/>
    </xf>
    <xf numFmtId="164" fontId="7" fillId="0" borderId="0" xfId="1" applyNumberFormat="1" applyFont="1" applyAlignment="1" applyProtection="1">
      <alignment horizontal="center" vertical="center"/>
      <protection locked="0"/>
    </xf>
    <xf numFmtId="164" fontId="7" fillId="0" borderId="0" xfId="1" applyNumberFormat="1" applyFont="1" applyAlignment="1" applyProtection="1">
      <alignment horizontal="center"/>
      <protection locked="0"/>
    </xf>
    <xf numFmtId="164" fontId="15" fillId="0" borderId="0" xfId="1" applyNumberFormat="1" applyFont="1" applyAlignment="1" applyProtection="1">
      <alignment horizontal="center"/>
      <protection locked="0"/>
    </xf>
    <xf numFmtId="3" fontId="41" fillId="0" borderId="0" xfId="3" applyNumberFormat="1" applyFont="1" applyAlignment="1">
      <alignment horizontal="center" vertical="center" wrapText="1"/>
    </xf>
    <xf numFmtId="3" fontId="40" fillId="0" borderId="0" xfId="3" applyNumberFormat="1" applyFont="1" applyAlignment="1">
      <alignment horizontal="center"/>
    </xf>
    <xf numFmtId="3" fontId="7" fillId="0" borderId="0" xfId="3" applyNumberFormat="1" applyFont="1" applyAlignment="1">
      <alignment horizontal="center"/>
    </xf>
    <xf numFmtId="3" fontId="40" fillId="0" borderId="5" xfId="3" applyNumberFormat="1" applyFont="1" applyBorder="1" applyAlignment="1">
      <alignment horizontal="center" vertical="center"/>
    </xf>
    <xf numFmtId="3" fontId="40" fillId="0" borderId="46" xfId="3" applyNumberFormat="1" applyFont="1" applyBorder="1" applyAlignment="1">
      <alignment horizontal="center" vertical="center"/>
    </xf>
    <xf numFmtId="3" fontId="40" fillId="0" borderId="39" xfId="3" applyNumberFormat="1" applyFont="1" applyBorder="1" applyAlignment="1">
      <alignment horizontal="center" vertical="center"/>
    </xf>
    <xf numFmtId="3" fontId="40" fillId="0" borderId="73" xfId="3" applyNumberFormat="1" applyFont="1" applyBorder="1" applyAlignment="1">
      <alignment horizontal="center" vertical="center" wrapText="1"/>
    </xf>
    <xf numFmtId="3" fontId="40" fillId="0" borderId="47" xfId="3" applyNumberFormat="1" applyFont="1" applyBorder="1" applyAlignment="1">
      <alignment horizontal="center" vertical="center" wrapText="1"/>
    </xf>
    <xf numFmtId="3" fontId="40" fillId="0" borderId="61" xfId="3" applyNumberFormat="1" applyFont="1" applyBorder="1" applyAlignment="1">
      <alignment horizontal="center" vertical="center" wrapText="1"/>
    </xf>
    <xf numFmtId="3" fontId="40" fillId="0" borderId="7" xfId="3" applyNumberFormat="1" applyFont="1" applyBorder="1" applyAlignment="1">
      <alignment horizontal="center" vertical="center" wrapText="1"/>
    </xf>
    <xf numFmtId="3" fontId="40" fillId="0" borderId="57" xfId="3" applyNumberFormat="1" applyFont="1" applyBorder="1" applyAlignment="1">
      <alignment horizontal="center" wrapText="1"/>
    </xf>
    <xf numFmtId="3" fontId="40" fillId="0" borderId="55" xfId="3" applyNumberFormat="1" applyFont="1" applyBorder="1" applyAlignment="1">
      <alignment horizontal="center" wrapText="1"/>
    </xf>
    <xf numFmtId="3" fontId="40" fillId="0" borderId="74" xfId="3" applyNumberFormat="1" applyFont="1" applyBorder="1" applyAlignment="1">
      <alignment horizontal="center" vertical="center" wrapText="1"/>
    </xf>
    <xf numFmtId="3" fontId="40" fillId="0" borderId="62" xfId="3" applyNumberFormat="1" applyFont="1" applyBorder="1" applyAlignment="1">
      <alignment horizontal="center" wrapText="1"/>
    </xf>
    <xf numFmtId="3" fontId="40" fillId="0" borderId="60" xfId="3" applyNumberFormat="1" applyFont="1" applyBorder="1" applyAlignment="1">
      <alignment horizontal="center" wrapText="1"/>
    </xf>
    <xf numFmtId="3" fontId="40" fillId="0" borderId="47" xfId="3" applyNumberFormat="1" applyFont="1" applyBorder="1" applyAlignment="1">
      <alignment horizontal="center" wrapText="1"/>
    </xf>
    <xf numFmtId="3" fontId="40" fillId="0" borderId="61" xfId="3" applyNumberFormat="1" applyFont="1" applyBorder="1" applyAlignment="1">
      <alignment horizontal="center" wrapText="1"/>
    </xf>
    <xf numFmtId="3" fontId="40" fillId="0" borderId="5" xfId="3" applyNumberFormat="1" applyFont="1" applyBorder="1" applyAlignment="1">
      <alignment horizontal="center" vertical="center" wrapText="1"/>
    </xf>
    <xf numFmtId="3" fontId="40" fillId="0" borderId="46" xfId="3" applyNumberFormat="1" applyFont="1" applyBorder="1" applyAlignment="1">
      <alignment horizontal="center" wrapText="1"/>
    </xf>
    <xf numFmtId="3" fontId="40" fillId="0" borderId="39" xfId="3" applyNumberFormat="1" applyFont="1" applyBorder="1" applyAlignment="1">
      <alignment horizontal="center" wrapText="1"/>
    </xf>
    <xf numFmtId="3" fontId="40" fillId="0" borderId="6" xfId="3" applyNumberFormat="1" applyFont="1" applyBorder="1" applyAlignment="1">
      <alignment horizontal="center" vertical="center" wrapText="1"/>
    </xf>
    <xf numFmtId="3" fontId="40" fillId="0" borderId="63" xfId="3" applyNumberFormat="1" applyFont="1" applyBorder="1" applyAlignment="1">
      <alignment horizontal="center" wrapText="1"/>
    </xf>
    <xf numFmtId="3" fontId="40" fillId="0" borderId="40" xfId="3" applyNumberFormat="1" applyFont="1" applyBorder="1" applyAlignment="1">
      <alignment horizontal="center" wrapText="1"/>
    </xf>
    <xf numFmtId="164" fontId="7" fillId="21" borderId="70" xfId="3" applyNumberFormat="1" applyFont="1" applyFill="1" applyBorder="1" applyAlignment="1">
      <alignment horizontal="left" vertical="center"/>
    </xf>
    <xf numFmtId="164" fontId="7" fillId="21" borderId="68" xfId="3" applyNumberFormat="1" applyFont="1" applyFill="1" applyBorder="1" applyAlignment="1">
      <alignment horizontal="left" vertical="center"/>
    </xf>
    <xf numFmtId="164" fontId="7" fillId="21" borderId="37" xfId="3" applyNumberFormat="1" applyFont="1" applyFill="1" applyBorder="1" applyAlignment="1">
      <alignment horizontal="left" vertical="center"/>
    </xf>
    <xf numFmtId="164" fontId="42" fillId="0" borderId="19" xfId="3" applyNumberFormat="1" applyFont="1" applyBorder="1" applyAlignment="1">
      <alignment horizontal="left" vertical="center"/>
    </xf>
    <xf numFmtId="164" fontId="42" fillId="0" borderId="11" xfId="3" applyNumberFormat="1" applyFont="1" applyBorder="1" applyAlignment="1">
      <alignment horizontal="left" vertical="center"/>
    </xf>
    <xf numFmtId="164" fontId="44" fillId="22" borderId="19" xfId="3" applyNumberFormat="1" applyFont="1" applyFill="1" applyBorder="1" applyAlignment="1">
      <alignment horizontal="left" wrapText="1"/>
    </xf>
    <xf numFmtId="164" fontId="44" fillId="22" borderId="38" xfId="3" applyNumberFormat="1" applyFont="1" applyFill="1" applyBorder="1" applyAlignment="1">
      <alignment horizontal="left" wrapText="1"/>
    </xf>
    <xf numFmtId="164" fontId="40" fillId="0" borderId="19" xfId="4" applyNumberFormat="1" applyFont="1" applyBorder="1" applyAlignment="1">
      <alignment horizontal="left" vertical="center" wrapText="1"/>
    </xf>
    <xf numFmtId="164" fontId="40" fillId="0" borderId="38" xfId="4" applyNumberFormat="1" applyFont="1" applyBorder="1" applyAlignment="1">
      <alignment horizontal="left" vertical="center" wrapText="1"/>
    </xf>
    <xf numFmtId="3" fontId="40" fillId="0" borderId="0" xfId="3" quotePrefix="1" applyNumberFormat="1" applyFont="1" applyAlignment="1">
      <alignment horizontal="center" vertical="center"/>
    </xf>
    <xf numFmtId="3" fontId="40" fillId="0" borderId="0" xfId="3" applyNumberFormat="1" applyFont="1" applyAlignment="1">
      <alignment horizontal="center" vertical="center"/>
    </xf>
    <xf numFmtId="3" fontId="43" fillId="0" borderId="70" xfId="3" applyNumberFormat="1" applyFont="1" applyBorder="1" applyAlignment="1">
      <alignment horizontal="left" vertical="center"/>
    </xf>
    <xf numFmtId="3" fontId="43" fillId="0" borderId="68" xfId="3" applyNumberFormat="1" applyFont="1" applyBorder="1" applyAlignment="1">
      <alignment horizontal="left" vertical="center"/>
    </xf>
    <xf numFmtId="3" fontId="43" fillId="0" borderId="37" xfId="3" applyNumberFormat="1" applyFont="1" applyBorder="1" applyAlignment="1">
      <alignment horizontal="left" vertical="center"/>
    </xf>
    <xf numFmtId="164" fontId="44" fillId="22" borderId="11" xfId="3" applyNumberFormat="1" applyFont="1" applyFill="1" applyBorder="1" applyAlignment="1">
      <alignment horizontal="left" wrapText="1"/>
    </xf>
    <xf numFmtId="164" fontId="15" fillId="23" borderId="19" xfId="3" applyNumberFormat="1" applyFont="1" applyFill="1" applyBorder="1" applyAlignment="1">
      <alignment horizontal="left" vertical="center"/>
    </xf>
    <xf numFmtId="164" fontId="15" fillId="23" borderId="38" xfId="3" applyNumberFormat="1" applyFont="1" applyFill="1" applyBorder="1" applyAlignment="1">
      <alignment horizontal="left" vertical="center"/>
    </xf>
    <xf numFmtId="164" fontId="15" fillId="19" borderId="19" xfId="3" applyNumberFormat="1" applyFont="1" applyFill="1" applyBorder="1" applyAlignment="1">
      <alignment horizontal="left" vertical="center"/>
    </xf>
    <xf numFmtId="164" fontId="15" fillId="19" borderId="11" xfId="3" applyNumberFormat="1" applyFont="1" applyFill="1" applyBorder="1" applyAlignment="1">
      <alignment horizontal="left" vertical="center"/>
    </xf>
    <xf numFmtId="164" fontId="43" fillId="0" borderId="8" xfId="3" applyNumberFormat="1" applyFont="1" applyBorder="1" applyAlignment="1">
      <alignment horizontal="left" vertical="center"/>
    </xf>
    <xf numFmtId="164" fontId="43" fillId="0" borderId="9" xfId="3" applyNumberFormat="1" applyFont="1" applyBorder="1" applyAlignment="1">
      <alignment horizontal="left" vertical="center"/>
    </xf>
    <xf numFmtId="164" fontId="43" fillId="0" borderId="10" xfId="3" applyNumberFormat="1" applyFont="1" applyBorder="1" applyAlignment="1">
      <alignment horizontal="left" vertical="center"/>
    </xf>
    <xf numFmtId="164" fontId="7" fillId="24" borderId="70" xfId="3" applyNumberFormat="1" applyFont="1" applyFill="1" applyBorder="1" applyAlignment="1">
      <alignment horizontal="left" vertical="center"/>
    </xf>
    <xf numFmtId="164" fontId="7" fillId="24" borderId="68" xfId="3" applyNumberFormat="1" applyFont="1" applyFill="1" applyBorder="1" applyAlignment="1">
      <alignment horizontal="left" vertical="center"/>
    </xf>
    <xf numFmtId="164" fontId="7" fillId="24" borderId="37" xfId="3" applyNumberFormat="1" applyFont="1" applyFill="1" applyBorder="1" applyAlignment="1">
      <alignment horizontal="left" vertical="center"/>
    </xf>
    <xf numFmtId="164" fontId="40" fillId="0" borderId="45" xfId="4" applyNumberFormat="1" applyFont="1" applyBorder="1" applyAlignment="1">
      <alignment horizontal="left" vertical="center" wrapText="1"/>
    </xf>
    <xf numFmtId="164" fontId="46" fillId="0" borderId="4" xfId="4" applyNumberFormat="1" applyFont="1" applyBorder="1" applyAlignment="1">
      <alignment horizontal="left" vertical="center" wrapText="1"/>
    </xf>
    <xf numFmtId="164" fontId="46" fillId="0" borderId="38" xfId="4" applyNumberFormat="1" applyFont="1" applyBorder="1" applyAlignment="1">
      <alignment horizontal="left" vertical="center" wrapText="1"/>
    </xf>
    <xf numFmtId="164" fontId="40" fillId="0" borderId="19" xfId="3" applyNumberFormat="1" applyFont="1" applyBorder="1" applyAlignment="1">
      <alignment horizontal="left" vertical="center"/>
    </xf>
    <xf numFmtId="164" fontId="40" fillId="0" borderId="38" xfId="3" applyNumberFormat="1" applyFont="1" applyBorder="1" applyAlignment="1">
      <alignment horizontal="left" vertical="center"/>
    </xf>
    <xf numFmtId="0" fontId="40" fillId="0" borderId="43" xfId="3" applyFont="1" applyBorder="1" applyAlignment="1">
      <alignment horizontal="left" vertical="center" wrapText="1"/>
    </xf>
    <xf numFmtId="0" fontId="40" fillId="0" borderId="55" xfId="3" applyFont="1" applyBorder="1" applyAlignment="1">
      <alignment horizontal="left" vertical="center" wrapText="1"/>
    </xf>
    <xf numFmtId="0" fontId="16" fillId="0" borderId="17" xfId="5" applyFont="1" applyBorder="1" applyAlignment="1">
      <alignment horizontal="left" vertical="center" wrapText="1"/>
    </xf>
    <xf numFmtId="0" fontId="16" fillId="0" borderId="40" xfId="5" applyFont="1" applyBorder="1" applyAlignment="1">
      <alignment horizontal="left" vertical="center" wrapText="1"/>
    </xf>
    <xf numFmtId="0" fontId="16" fillId="0" borderId="19" xfId="5" applyFont="1" applyBorder="1" applyAlignment="1">
      <alignment horizontal="left" vertical="center"/>
    </xf>
    <xf numFmtId="0" fontId="16" fillId="0" borderId="38" xfId="5" applyFont="1" applyBorder="1" applyAlignment="1">
      <alignment horizontal="left" vertical="center"/>
    </xf>
    <xf numFmtId="0" fontId="16" fillId="0" borderId="19" xfId="5" applyFont="1" applyBorder="1" applyAlignment="1">
      <alignment horizontal="left" vertical="center" wrapText="1"/>
    </xf>
    <xf numFmtId="0" fontId="16" fillId="0" borderId="38" xfId="5" applyFont="1" applyBorder="1" applyAlignment="1">
      <alignment horizontal="left" vertical="center" wrapText="1"/>
    </xf>
    <xf numFmtId="164" fontId="46" fillId="0" borderId="19" xfId="4" applyNumberFormat="1" applyFont="1" applyBorder="1" applyAlignment="1">
      <alignment horizontal="left" vertical="center" wrapText="1"/>
    </xf>
    <xf numFmtId="164" fontId="40" fillId="0" borderId="11" xfId="4" applyNumberFormat="1" applyFont="1" applyBorder="1" applyAlignment="1">
      <alignment horizontal="left" vertical="center" wrapText="1"/>
    </xf>
    <xf numFmtId="3" fontId="47" fillId="0" borderId="0" xfId="3" applyNumberFormat="1" applyFont="1" applyAlignment="1">
      <alignment horizontal="center" vertical="center"/>
    </xf>
    <xf numFmtId="164" fontId="7" fillId="24" borderId="70" xfId="3" applyNumberFormat="1" applyFont="1" applyFill="1" applyBorder="1" applyAlignment="1">
      <alignment horizontal="left" vertical="center" wrapText="1"/>
    </xf>
    <xf numFmtId="164" fontId="7" fillId="24" borderId="68" xfId="3" applyNumberFormat="1" applyFont="1" applyFill="1" applyBorder="1" applyAlignment="1">
      <alignment horizontal="left" vertical="center" wrapText="1"/>
    </xf>
    <xf numFmtId="164" fontId="7" fillId="24" borderId="37" xfId="3" applyNumberFormat="1" applyFont="1" applyFill="1" applyBorder="1" applyAlignment="1">
      <alignment horizontal="left" vertical="center" wrapText="1"/>
    </xf>
    <xf numFmtId="164" fontId="7" fillId="24" borderId="71" xfId="3" applyNumberFormat="1" applyFont="1" applyFill="1" applyBorder="1" applyAlignment="1">
      <alignment horizontal="left" vertical="center" wrapText="1"/>
    </xf>
    <xf numFmtId="164" fontId="7" fillId="24" borderId="72" xfId="3" applyNumberFormat="1" applyFont="1" applyFill="1" applyBorder="1" applyAlignment="1">
      <alignment horizontal="left" vertical="center" wrapText="1"/>
    </xf>
    <xf numFmtId="164" fontId="7" fillId="24" borderId="44" xfId="3" applyNumberFormat="1" applyFont="1" applyFill="1" applyBorder="1" applyAlignment="1">
      <alignment horizontal="left" vertical="center" wrapText="1"/>
    </xf>
    <xf numFmtId="0" fontId="40" fillId="0" borderId="71" xfId="6" applyFont="1" applyBorder="1" applyAlignment="1">
      <alignment horizontal="left" vertical="center" wrapText="1"/>
    </xf>
    <xf numFmtId="0" fontId="40" fillId="0" borderId="69" xfId="6" applyFont="1" applyBorder="1" applyAlignment="1">
      <alignment horizontal="left" vertical="center" wrapText="1"/>
    </xf>
    <xf numFmtId="0" fontId="40" fillId="0" borderId="71" xfId="6" applyFont="1" applyBorder="1" applyAlignment="1">
      <alignment vertical="center" wrapText="1"/>
    </xf>
    <xf numFmtId="0" fontId="40" fillId="0" borderId="69" xfId="6" applyFont="1" applyBorder="1" applyAlignment="1">
      <alignment vertical="center" wrapText="1"/>
    </xf>
    <xf numFmtId="164" fontId="32" fillId="0" borderId="17" xfId="4" applyNumberFormat="1" applyFont="1" applyBorder="1" applyAlignment="1">
      <alignment horizontal="left" vertical="center" wrapText="1"/>
    </xf>
    <xf numFmtId="164" fontId="32" fillId="0" borderId="40" xfId="4" applyNumberFormat="1" applyFont="1" applyBorder="1" applyAlignment="1">
      <alignment horizontal="left" vertical="center" wrapText="1"/>
    </xf>
    <xf numFmtId="0" fontId="15" fillId="0" borderId="19" xfId="5" applyBorder="1" applyAlignment="1">
      <alignment horizontal="left" vertical="center" wrapText="1"/>
    </xf>
    <xf numFmtId="0" fontId="15" fillId="0" borderId="38" xfId="5" applyBorder="1" applyAlignment="1">
      <alignment horizontal="left" vertical="center" wrapText="1"/>
    </xf>
    <xf numFmtId="0" fontId="40" fillId="0" borderId="19" xfId="6" applyFont="1" applyBorder="1" applyAlignment="1">
      <alignment horizontal="left" vertical="center" wrapText="1"/>
    </xf>
    <xf numFmtId="0" fontId="40" fillId="0" borderId="38" xfId="6" applyFont="1" applyBorder="1" applyAlignment="1">
      <alignment horizontal="left" vertical="center" wrapText="1"/>
    </xf>
    <xf numFmtId="164" fontId="40" fillId="0" borderId="17" xfId="4" applyNumberFormat="1" applyFont="1" applyBorder="1" applyAlignment="1">
      <alignment horizontal="left" vertical="center" wrapText="1"/>
    </xf>
    <xf numFmtId="164" fontId="40" fillId="0" borderId="40" xfId="4" applyNumberFormat="1" applyFont="1" applyBorder="1" applyAlignment="1">
      <alignment horizontal="left" vertical="center" wrapText="1"/>
    </xf>
    <xf numFmtId="0" fontId="40" fillId="0" borderId="17" xfId="3" applyFont="1" applyBorder="1" applyAlignment="1">
      <alignment horizontal="left" vertical="center" wrapText="1"/>
    </xf>
    <xf numFmtId="0" fontId="40" fillId="0" borderId="40" xfId="3" applyFont="1" applyBorder="1" applyAlignment="1">
      <alignment horizontal="left" vertical="center" wrapText="1"/>
    </xf>
    <xf numFmtId="3" fontId="7" fillId="0" borderId="7" xfId="3" applyNumberFormat="1" applyFont="1" applyBorder="1" applyAlignment="1">
      <alignment horizontal="left" vertical="center"/>
    </xf>
    <xf numFmtId="3" fontId="7" fillId="0" borderId="55" xfId="3" applyNumberFormat="1" applyFont="1" applyBorder="1" applyAlignment="1">
      <alignment horizontal="left" vertical="center"/>
    </xf>
    <xf numFmtId="3" fontId="46" fillId="0" borderId="7" xfId="3" applyNumberFormat="1" applyFont="1" applyBorder="1" applyAlignment="1">
      <alignment horizontal="center" vertical="center" wrapText="1"/>
    </xf>
    <xf numFmtId="3" fontId="46" fillId="0" borderId="55" xfId="3" applyNumberFormat="1" applyFont="1" applyBorder="1" applyAlignment="1">
      <alignment horizontal="center" vertical="center" wrapText="1"/>
    </xf>
    <xf numFmtId="3" fontId="7" fillId="0" borderId="4" xfId="3" applyNumberFormat="1" applyFont="1" applyBorder="1" applyAlignment="1">
      <alignment horizontal="right" vertical="center"/>
    </xf>
    <xf numFmtId="3" fontId="7" fillId="0" borderId="38" xfId="3" applyNumberFormat="1" applyFont="1" applyBorder="1" applyAlignment="1">
      <alignment horizontal="right" vertical="center"/>
    </xf>
    <xf numFmtId="3" fontId="7" fillId="0" borderId="5" xfId="3" applyNumberFormat="1" applyFont="1" applyBorder="1" applyAlignment="1">
      <alignment horizontal="right" vertical="center"/>
    </xf>
    <xf numFmtId="3" fontId="7" fillId="0" borderId="39" xfId="3" applyNumberFormat="1" applyFont="1" applyBorder="1" applyAlignment="1">
      <alignment horizontal="right" vertical="center"/>
    </xf>
    <xf numFmtId="3" fontId="50" fillId="0" borderId="43" xfId="3" applyNumberFormat="1" applyFont="1" applyBorder="1" applyAlignment="1">
      <alignment horizontal="left" vertical="center"/>
    </xf>
    <xf numFmtId="3" fontId="50" fillId="0" borderId="55" xfId="3" applyNumberFormat="1" applyFont="1" applyBorder="1" applyAlignment="1">
      <alignment horizontal="left" vertical="center"/>
    </xf>
    <xf numFmtId="3" fontId="52" fillId="0" borderId="41" xfId="3" applyNumberFormat="1" applyFont="1" applyBorder="1" applyAlignment="1">
      <alignment horizontal="right"/>
    </xf>
    <xf numFmtId="3" fontId="52" fillId="0" borderId="37" xfId="3" applyNumberFormat="1" applyFont="1" applyBorder="1" applyAlignment="1">
      <alignment horizontal="right"/>
    </xf>
    <xf numFmtId="3" fontId="53" fillId="0" borderId="43" xfId="3" applyNumberFormat="1" applyFont="1" applyBorder="1" applyAlignment="1">
      <alignment horizontal="left" vertical="center"/>
    </xf>
    <xf numFmtId="3" fontId="53" fillId="0" borderId="14" xfId="3" applyNumberFormat="1" applyFont="1" applyBorder="1" applyAlignment="1">
      <alignment horizontal="left" vertical="center"/>
    </xf>
    <xf numFmtId="3" fontId="55" fillId="0" borderId="41" xfId="3" applyNumberFormat="1" applyFont="1" applyBorder="1" applyAlignment="1">
      <alignment horizontal="right"/>
    </xf>
    <xf numFmtId="3" fontId="55" fillId="0" borderId="37" xfId="3" applyNumberFormat="1" applyFont="1" applyBorder="1" applyAlignment="1">
      <alignment horizontal="right"/>
    </xf>
    <xf numFmtId="3" fontId="55" fillId="0" borderId="75" xfId="3" applyNumberFormat="1" applyFont="1" applyBorder="1" applyAlignment="1">
      <alignment horizontal="right"/>
    </xf>
    <xf numFmtId="3" fontId="55" fillId="0" borderId="2" xfId="3" applyNumberFormat="1" applyFont="1" applyBorder="1" applyAlignment="1">
      <alignment horizontal="right"/>
    </xf>
    <xf numFmtId="3" fontId="44" fillId="0" borderId="77" xfId="3" applyNumberFormat="1" applyFont="1" applyBorder="1" applyAlignment="1">
      <alignment horizontal="right" vertical="center"/>
    </xf>
    <xf numFmtId="3" fontId="44" fillId="0" borderId="78" xfId="3" applyNumberFormat="1" applyFont="1" applyBorder="1" applyAlignment="1">
      <alignment horizontal="right" vertical="center"/>
    </xf>
    <xf numFmtId="3" fontId="44" fillId="0" borderId="65" xfId="3" applyNumberFormat="1" applyFont="1" applyBorder="1" applyAlignment="1">
      <alignment horizontal="right" vertical="center"/>
    </xf>
    <xf numFmtId="3" fontId="44" fillId="0" borderId="56" xfId="3" applyNumberFormat="1" applyFont="1" applyBorder="1" applyAlignment="1">
      <alignment horizontal="right" vertical="center"/>
    </xf>
    <xf numFmtId="3" fontId="7" fillId="0" borderId="57" xfId="3" applyNumberFormat="1" applyFont="1" applyBorder="1" applyAlignment="1">
      <alignment horizontal="left" vertical="center"/>
    </xf>
    <xf numFmtId="4" fontId="44" fillId="0" borderId="41" xfId="3" applyNumberFormat="1" applyFont="1" applyBorder="1" applyAlignment="1">
      <alignment horizontal="right" vertical="center"/>
    </xf>
    <xf numFmtId="4" fontId="44" fillId="0" borderId="37" xfId="3" applyNumberFormat="1" applyFont="1" applyBorder="1" applyAlignment="1">
      <alignment horizontal="right" vertical="center"/>
    </xf>
    <xf numFmtId="3" fontId="48" fillId="0" borderId="43" xfId="3" applyNumberFormat="1" applyFont="1" applyBorder="1" applyAlignment="1">
      <alignment horizontal="left" vertical="center"/>
    </xf>
    <xf numFmtId="3" fontId="48" fillId="0" borderId="55" xfId="3" applyNumberFormat="1" applyFont="1" applyBorder="1" applyAlignment="1">
      <alignment horizontal="left" vertical="center"/>
    </xf>
    <xf numFmtId="4" fontId="49" fillId="0" borderId="41" xfId="3" applyNumberFormat="1" applyFont="1" applyBorder="1" applyAlignment="1">
      <alignment horizontal="right"/>
    </xf>
    <xf numFmtId="4" fontId="49" fillId="0" borderId="37" xfId="3" applyNumberFormat="1" applyFont="1" applyBorder="1" applyAlignment="1">
      <alignment horizontal="right"/>
    </xf>
    <xf numFmtId="4" fontId="7" fillId="0" borderId="0" xfId="7" applyNumberFormat="1" applyFont="1" applyAlignment="1" applyProtection="1">
      <alignment horizontal="center" vertical="center"/>
      <protection locked="0"/>
    </xf>
    <xf numFmtId="4" fontId="7" fillId="20" borderId="0" xfId="7" applyNumberFormat="1" applyFont="1" applyFill="1" applyAlignment="1" applyProtection="1">
      <alignment horizontal="center" vertical="top" wrapText="1"/>
      <protection locked="0"/>
    </xf>
    <xf numFmtId="0" fontId="7" fillId="0" borderId="0" xfId="2" applyFont="1" applyAlignment="1">
      <alignment horizontal="center"/>
    </xf>
    <xf numFmtId="4" fontId="7" fillId="0" borderId="0" xfId="7" applyNumberFormat="1" applyFont="1" applyAlignment="1" applyProtection="1">
      <alignment horizontal="center"/>
      <protection locked="0"/>
    </xf>
    <xf numFmtId="0" fontId="29" fillId="0" borderId="0" xfId="7" applyFont="1" applyAlignment="1">
      <alignment horizontal="center" vertical="center"/>
    </xf>
    <xf numFmtId="0" fontId="58" fillId="20" borderId="87" xfId="9" applyFont="1" applyFill="1" applyBorder="1" applyAlignment="1">
      <alignment horizontal="center" vertical="center" wrapText="1"/>
    </xf>
    <xf numFmtId="0" fontId="58" fillId="20" borderId="79" xfId="9" applyFont="1" applyFill="1" applyBorder="1" applyAlignment="1">
      <alignment horizontal="center" vertical="center" wrapText="1"/>
    </xf>
    <xf numFmtId="0" fontId="58" fillId="20" borderId="80" xfId="9" applyFont="1" applyFill="1" applyBorder="1" applyAlignment="1">
      <alignment horizontal="center" vertical="center" wrapText="1"/>
    </xf>
    <xf numFmtId="0" fontId="58" fillId="20" borderId="92" xfId="9" applyFont="1" applyFill="1" applyBorder="1" applyAlignment="1">
      <alignment horizontal="center" vertical="center" wrapText="1"/>
    </xf>
    <xf numFmtId="0" fontId="58" fillId="20" borderId="81" xfId="9" applyFont="1" applyFill="1" applyBorder="1" applyAlignment="1">
      <alignment horizontal="center" vertical="center" wrapText="1"/>
    </xf>
    <xf numFmtId="164" fontId="7" fillId="0" borderId="85" xfId="1" applyNumberFormat="1" applyFont="1" applyBorder="1" applyAlignment="1" applyProtection="1">
      <alignment horizontal="center" vertical="center" wrapText="1"/>
      <protection locked="0"/>
    </xf>
    <xf numFmtId="164" fontId="7" fillId="0" borderId="90" xfId="1" applyNumberFormat="1" applyFont="1" applyBorder="1" applyAlignment="1" applyProtection="1">
      <alignment horizontal="center" vertical="center" wrapText="1"/>
      <protection locked="0"/>
    </xf>
    <xf numFmtId="164" fontId="15" fillId="0" borderId="19" xfId="1" applyNumberFormat="1" applyFont="1" applyBorder="1" applyAlignment="1" applyProtection="1">
      <alignment horizontal="left" vertical="center" wrapText="1"/>
      <protection locked="0"/>
    </xf>
    <xf numFmtId="164" fontId="15" fillId="0" borderId="38" xfId="1" applyNumberFormat="1" applyFont="1" applyBorder="1" applyAlignment="1" applyProtection="1">
      <alignment horizontal="left" vertical="center" wrapText="1"/>
      <protection locked="0"/>
    </xf>
    <xf numFmtId="0" fontId="58" fillId="20" borderId="86" xfId="9" applyFont="1" applyFill="1" applyBorder="1" applyAlignment="1">
      <alignment horizontal="center" vertical="center" wrapText="1"/>
    </xf>
    <xf numFmtId="0" fontId="58" fillId="20" borderId="91" xfId="9" applyFont="1" applyFill="1" applyBorder="1" applyAlignment="1">
      <alignment horizontal="center" vertical="center" wrapText="1"/>
    </xf>
    <xf numFmtId="4" fontId="7" fillId="0" borderId="19" xfId="1" applyNumberFormat="1" applyFont="1" applyBorder="1" applyAlignment="1" applyProtection="1">
      <alignment horizontal="left" vertical="center" wrapText="1"/>
      <protection locked="0"/>
    </xf>
    <xf numFmtId="4" fontId="7" fillId="0" borderId="38" xfId="1" applyNumberFormat="1" applyFont="1" applyBorder="1" applyAlignment="1" applyProtection="1">
      <alignment horizontal="left" vertical="center" wrapText="1"/>
      <protection locked="0"/>
    </xf>
    <xf numFmtId="164" fontId="2" fillId="0" borderId="0" xfId="1" applyNumberFormat="1" applyFont="1" applyAlignment="1" applyProtection="1">
      <alignment horizontal="center"/>
      <protection locked="0"/>
    </xf>
    <xf numFmtId="164" fontId="57" fillId="0" borderId="0" xfId="1" applyNumberFormat="1" applyFont="1" applyAlignment="1" applyProtection="1">
      <alignment horizontal="center" vertical="center" wrapText="1"/>
      <protection locked="0"/>
    </xf>
    <xf numFmtId="0" fontId="58" fillId="20" borderId="93" xfId="9" applyFont="1" applyFill="1" applyBorder="1" applyAlignment="1">
      <alignment horizontal="center" vertical="center" wrapText="1"/>
    </xf>
    <xf numFmtId="0" fontId="58" fillId="20" borderId="82" xfId="9" applyFont="1" applyFill="1" applyBorder="1" applyAlignment="1">
      <alignment horizontal="center" vertical="center" wrapText="1"/>
    </xf>
    <xf numFmtId="165" fontId="58" fillId="20" borderId="94" xfId="9" applyNumberFormat="1" applyFont="1" applyFill="1" applyBorder="1" applyAlignment="1">
      <alignment horizontal="left" vertical="center" wrapText="1"/>
    </xf>
    <xf numFmtId="165" fontId="58" fillId="20" borderId="95" xfId="9" applyNumberFormat="1" applyFont="1" applyFill="1" applyBorder="1" applyAlignment="1">
      <alignment horizontal="left" vertical="center" wrapText="1"/>
    </xf>
    <xf numFmtId="164" fontId="15" fillId="0" borderId="98" xfId="1" applyNumberFormat="1" applyFont="1" applyBorder="1" applyAlignment="1" applyProtection="1">
      <alignment horizontal="left" vertical="center" wrapText="1"/>
      <protection locked="0"/>
    </xf>
    <xf numFmtId="164" fontId="15" fillId="0" borderId="84" xfId="1" quotePrefix="1" applyNumberFormat="1" applyFont="1" applyBorder="1" applyAlignment="1" applyProtection="1">
      <alignment horizontal="right" vertical="center" wrapText="1"/>
      <protection locked="0"/>
    </xf>
    <xf numFmtId="164" fontId="7" fillId="2" borderId="19" xfId="1" applyNumberFormat="1" applyFont="1" applyFill="1" applyBorder="1" applyAlignment="1" applyProtection="1">
      <alignment horizontal="left" vertical="center" wrapText="1"/>
      <protection locked="0"/>
    </xf>
    <xf numFmtId="164" fontId="7" fillId="2" borderId="38" xfId="1" applyNumberFormat="1" applyFont="1" applyFill="1" applyBorder="1" applyAlignment="1" applyProtection="1">
      <alignment horizontal="left" vertical="center" wrapText="1"/>
      <protection locked="0"/>
    </xf>
  </cellXfs>
  <cellStyles count="10">
    <cellStyle name="Normal" xfId="0" builtinId="0"/>
    <cellStyle name="Normal 2" xfId="1" xr:uid="{00000000-0005-0000-0000-000001000000}"/>
    <cellStyle name="Normal 2 2" xfId="2" xr:uid="{00000000-0005-0000-0000-000002000000}"/>
    <cellStyle name="Normal 2 3 3" xfId="7" xr:uid="{00000000-0005-0000-0000-000003000000}"/>
    <cellStyle name="Normal 3 2" xfId="9" xr:uid="{00000000-0005-0000-0000-000004000000}"/>
    <cellStyle name="Normal 4 2" xfId="4" xr:uid="{00000000-0005-0000-0000-000005000000}"/>
    <cellStyle name="Normal 5 6 2 2 3 2" xfId="3" xr:uid="{00000000-0005-0000-0000-000006000000}"/>
    <cellStyle name="Normal 6 2" xfId="5" xr:uid="{00000000-0005-0000-0000-000007000000}"/>
    <cellStyle name="Normal 8 2" xfId="6" xr:uid="{00000000-0005-0000-0000-000008000000}"/>
    <cellStyle name="Normal 9"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d"/>
      <sheetName val="Brasov"/>
      <sheetName val="Buzau"/>
      <sheetName val="Caras"/>
      <sheetName val="Cluj"/>
      <sheetName val="Constanta"/>
      <sheetName val="Galati"/>
      <sheetName val="Giurgiu"/>
      <sheetName val="Gorj"/>
      <sheetName val="Hunedoara"/>
      <sheetName val="Iasi"/>
      <sheetName val="Ilfov"/>
      <sheetName val="Maramures"/>
      <sheetName val="Mures"/>
      <sheetName val="Olt"/>
      <sheetName val="Prahova"/>
      <sheetName val="Satu Mare"/>
      <sheetName val="Vaslui"/>
      <sheetName val="Centralizator"/>
      <sheetName val="ESTIMARE VENITURI"/>
      <sheetName val="1.3 Cofinantare"/>
      <sheetName val="2.1 lista orase L1"/>
      <sheetName val="3.1 conversie CF si PAD"/>
      <sheetName val="4.1 Camp  inf"/>
      <sheetName val="4.2..4.4 instruire"/>
      <sheetName val="4.5"/>
      <sheetName val="4.training ANCPI_buget"/>
      <sheetName val="5.1 5.2 cost posesii_ mosteniri"/>
      <sheetName val="5.5 Legea 165"/>
      <sheetName val="5.8 5.9 Dotari CNC "/>
      <sheetName val="5.12 chelt sup functional"/>
      <sheetName val="BUGET"/>
      <sheetName val="6. ICT"/>
      <sheetName val="7. costuri personal per.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0">
          <cell r="M20">
            <v>0</v>
          </cell>
        </row>
      </sheetData>
      <sheetData sheetId="19">
        <row r="20">
          <cell r="F20">
            <v>143000</v>
          </cell>
        </row>
      </sheetData>
      <sheetData sheetId="20"/>
      <sheetData sheetId="21"/>
      <sheetData sheetId="22"/>
      <sheetData sheetId="23">
        <row r="28">
          <cell r="C28">
            <v>164000</v>
          </cell>
        </row>
      </sheetData>
      <sheetData sheetId="24"/>
      <sheetData sheetId="25"/>
      <sheetData sheetId="26"/>
      <sheetData sheetId="27"/>
      <sheetData sheetId="28">
        <row r="23">
          <cell r="D23">
            <v>83404000</v>
          </cell>
        </row>
      </sheetData>
      <sheetData sheetId="29"/>
      <sheetData sheetId="30"/>
      <sheetData sheetId="31"/>
      <sheetData sheetId="32">
        <row r="55">
          <cell r="D55">
            <v>7679000</v>
          </cell>
        </row>
      </sheetData>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C441"/>
  <sheetViews>
    <sheetView tabSelected="1" topLeftCell="A239" zoomScale="80" zoomScaleNormal="80" workbookViewId="0">
      <selection activeCell="F449" sqref="F449"/>
    </sheetView>
  </sheetViews>
  <sheetFormatPr baseColWidth="10" defaultColWidth="9.1640625" defaultRowHeight="15" x14ac:dyDescent="0.2"/>
  <cols>
    <col min="1" max="1" width="5.83203125" style="1" customWidth="1"/>
    <col min="2" max="2" width="6" style="1" customWidth="1"/>
    <col min="3" max="3" width="5.6640625" style="1" customWidth="1"/>
    <col min="4" max="4" width="7" style="1" customWidth="1"/>
    <col min="5" max="5" width="5.1640625" style="1" customWidth="1"/>
    <col min="6" max="6" width="5.5" style="1" customWidth="1"/>
    <col min="7" max="7" width="47.6640625" style="1" customWidth="1"/>
    <col min="8" max="8" width="10.83203125" style="1" bestFit="1" customWidth="1"/>
    <col min="9" max="9" width="8.5" style="1" customWidth="1"/>
    <col min="10" max="14" width="14.33203125" style="1" customWidth="1"/>
    <col min="15" max="16" width="14.83203125" style="1" customWidth="1"/>
    <col min="17" max="19" width="13.33203125" style="1" customWidth="1"/>
    <col min="20" max="20" width="14.33203125" style="1" customWidth="1"/>
    <col min="21" max="24" width="13.33203125" style="1" customWidth="1"/>
    <col min="25" max="25" width="14.33203125" style="1" customWidth="1"/>
    <col min="26" max="28" width="13.33203125" style="1" customWidth="1"/>
    <col min="29" max="29" width="14.5" style="1" customWidth="1"/>
    <col min="30" max="16384" width="9.1640625" style="1"/>
  </cols>
  <sheetData>
    <row r="1" spans="1:29" ht="28" hidden="1" x14ac:dyDescent="0.2">
      <c r="B1" s="2"/>
      <c r="C1" s="2"/>
      <c r="D1" s="2"/>
      <c r="E1" s="2"/>
      <c r="F1" s="2"/>
      <c r="G1" s="2"/>
      <c r="H1" s="2"/>
      <c r="I1" s="2"/>
      <c r="J1" s="2"/>
      <c r="K1" s="2"/>
      <c r="L1" s="2"/>
      <c r="M1" s="2"/>
      <c r="N1" s="2"/>
      <c r="O1" s="2"/>
      <c r="P1" s="2"/>
      <c r="Q1" s="2"/>
      <c r="R1" s="3" t="s">
        <v>0</v>
      </c>
      <c r="S1" s="1241" t="s">
        <v>1</v>
      </c>
      <c r="T1" s="1241"/>
      <c r="U1" s="1241"/>
      <c r="V1" s="1241"/>
      <c r="W1" s="1241"/>
      <c r="X1" s="1241"/>
      <c r="Y1" s="1241"/>
      <c r="Z1" s="1241"/>
      <c r="AA1" s="1241"/>
      <c r="AB1" s="1241"/>
      <c r="AC1" s="1241"/>
    </row>
    <row r="2" spans="1:29" ht="21" hidden="1" x14ac:dyDescent="0.2">
      <c r="L2" s="4"/>
      <c r="M2" s="4"/>
      <c r="N2" s="4"/>
      <c r="O2" s="4"/>
      <c r="P2" s="4"/>
      <c r="Q2" s="4"/>
      <c r="R2" s="4"/>
      <c r="S2" s="1241" t="s">
        <v>2</v>
      </c>
      <c r="T2" s="1241"/>
      <c r="U2" s="1241"/>
      <c r="V2" s="1241"/>
      <c r="W2" s="1241"/>
      <c r="X2" s="1241"/>
      <c r="Y2" s="1241"/>
      <c r="Z2" s="1241"/>
      <c r="AA2" s="1241"/>
      <c r="AB2" s="1241"/>
      <c r="AC2" s="1241"/>
    </row>
    <row r="3" spans="1:29" ht="21" hidden="1" x14ac:dyDescent="0.2">
      <c r="L3" s="4"/>
      <c r="M3" s="4"/>
      <c r="N3" s="4"/>
      <c r="O3" s="4"/>
      <c r="P3" s="4"/>
      <c r="Q3" s="4"/>
      <c r="R3" s="4"/>
      <c r="S3" s="1241" t="s">
        <v>3</v>
      </c>
      <c r="T3" s="1241"/>
      <c r="U3" s="1241"/>
      <c r="V3" s="1241"/>
      <c r="W3" s="1241"/>
      <c r="X3" s="1241"/>
      <c r="Y3" s="1241"/>
      <c r="Z3" s="1241"/>
      <c r="AA3" s="1241"/>
      <c r="AB3" s="1241"/>
      <c r="AC3" s="1241"/>
    </row>
    <row r="4" spans="1:29" ht="21" hidden="1" x14ac:dyDescent="0.25">
      <c r="L4" s="4"/>
      <c r="M4" s="4"/>
      <c r="N4" s="4"/>
      <c r="O4" s="4"/>
      <c r="P4" s="4"/>
      <c r="Q4" s="4"/>
      <c r="R4" s="4"/>
      <c r="S4" s="1242" t="s">
        <v>4</v>
      </c>
      <c r="T4" s="1242"/>
      <c r="U4" s="1242"/>
      <c r="V4" s="1242"/>
      <c r="W4" s="1242"/>
      <c r="X4" s="1242"/>
      <c r="Y4" s="1242"/>
      <c r="Z4" s="1242"/>
      <c r="AA4" s="1242"/>
      <c r="AB4" s="1242"/>
      <c r="AC4" s="1242"/>
    </row>
    <row r="5" spans="1:29" ht="21" hidden="1" x14ac:dyDescent="0.25">
      <c r="L5" s="5"/>
      <c r="M5" s="5"/>
      <c r="N5" s="5"/>
      <c r="O5" s="5"/>
      <c r="P5" s="5"/>
      <c r="Q5" s="5"/>
      <c r="R5" s="5"/>
      <c r="S5" s="5"/>
      <c r="T5" s="5"/>
      <c r="U5" s="5"/>
      <c r="V5" s="5"/>
      <c r="W5" s="5"/>
      <c r="X5" s="5"/>
      <c r="Y5" s="5"/>
      <c r="Z5" s="5"/>
      <c r="AA5" s="5"/>
      <c r="AB5" s="5"/>
      <c r="AC5" s="5"/>
    </row>
    <row r="6" spans="1:29" ht="14.25" hidden="1" customHeight="1" x14ac:dyDescent="0.2">
      <c r="A6" s="1234" t="s">
        <v>5</v>
      </c>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row>
    <row r="7" spans="1:29" ht="14.25" hidden="1" customHeight="1" x14ac:dyDescent="0.2">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row>
    <row r="8" spans="1:29" ht="25" hidden="1" customHeight="1" x14ac:dyDescent="0.2">
      <c r="A8" s="1234" t="s">
        <v>8</v>
      </c>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row>
    <row r="9" spans="1:29" ht="12.25" hidden="1" customHeight="1" x14ac:dyDescent="0.2">
      <c r="B9" s="6"/>
      <c r="C9" s="6"/>
      <c r="D9" s="6"/>
      <c r="E9" s="6"/>
      <c r="F9" s="6"/>
      <c r="G9" s="6"/>
      <c r="H9" s="6"/>
      <c r="I9" s="6"/>
      <c r="J9" s="6"/>
      <c r="K9" s="6"/>
      <c r="L9" s="6"/>
      <c r="M9" s="6"/>
      <c r="N9" s="6"/>
      <c r="O9" s="6"/>
      <c r="P9" s="6"/>
      <c r="Q9" s="6"/>
      <c r="R9" s="6"/>
      <c r="S9" s="6"/>
      <c r="T9" s="6"/>
      <c r="U9" s="6"/>
      <c r="V9" s="6"/>
      <c r="W9" s="4"/>
      <c r="X9" s="4"/>
      <c r="Y9" s="4"/>
      <c r="Z9" s="4"/>
      <c r="AA9" s="4"/>
      <c r="AB9" s="4"/>
      <c r="AC9" s="4"/>
    </row>
    <row r="10" spans="1:29" s="8" customFormat="1" ht="26.25" hidden="1" customHeight="1" thickBot="1" x14ac:dyDescent="0.2">
      <c r="A10" s="7"/>
      <c r="B10" s="7"/>
      <c r="C10" s="7"/>
      <c r="D10" s="7"/>
      <c r="E10" s="7"/>
      <c r="F10" s="7"/>
      <c r="G10" s="7"/>
      <c r="H10" s="7"/>
      <c r="I10" s="7"/>
      <c r="J10" s="1235" t="s">
        <v>9</v>
      </c>
      <c r="K10" s="1235"/>
      <c r="L10" s="1235"/>
      <c r="M10" s="1235"/>
      <c r="N10" s="1235"/>
      <c r="O10" s="1236" t="s">
        <v>10</v>
      </c>
      <c r="P10" s="1236"/>
      <c r="Q10" s="1236"/>
      <c r="R10" s="1236"/>
      <c r="S10" s="1236"/>
      <c r="T10" s="1237" t="s">
        <v>11</v>
      </c>
      <c r="U10" s="1237"/>
      <c r="V10" s="1237"/>
      <c r="W10" s="1237"/>
      <c r="X10" s="1238"/>
      <c r="Y10" s="1239" t="s">
        <v>12</v>
      </c>
      <c r="Z10" s="1240"/>
      <c r="AA10" s="1240"/>
      <c r="AB10" s="1240"/>
      <c r="AC10" s="1240"/>
    </row>
    <row r="11" spans="1:29" s="8" customFormat="1" ht="28.5" hidden="1" customHeight="1" x14ac:dyDescent="0.15">
      <c r="A11" s="1265" t="s">
        <v>14</v>
      </c>
      <c r="B11" s="1267" t="s">
        <v>15</v>
      </c>
      <c r="C11" s="1267" t="s">
        <v>16</v>
      </c>
      <c r="D11" s="1267" t="s">
        <v>17</v>
      </c>
      <c r="E11" s="1267" t="s">
        <v>18</v>
      </c>
      <c r="F11" s="1267" t="s">
        <v>19</v>
      </c>
      <c r="G11" s="1253" t="s">
        <v>20</v>
      </c>
      <c r="H11" s="1255" t="s">
        <v>21</v>
      </c>
      <c r="I11" s="1257" t="s">
        <v>22</v>
      </c>
      <c r="J11" s="1259" t="s">
        <v>23</v>
      </c>
      <c r="K11" s="1261" t="s">
        <v>24</v>
      </c>
      <c r="L11" s="1262"/>
      <c r="M11" s="1262"/>
      <c r="N11" s="9" t="s">
        <v>25</v>
      </c>
      <c r="O11" s="1263" t="s">
        <v>23</v>
      </c>
      <c r="P11" s="1243" t="s">
        <v>26</v>
      </c>
      <c r="Q11" s="1244"/>
      <c r="R11" s="1244"/>
      <c r="S11" s="10" t="s">
        <v>25</v>
      </c>
      <c r="T11" s="1245" t="s">
        <v>23</v>
      </c>
      <c r="U11" s="1247" t="s">
        <v>26</v>
      </c>
      <c r="V11" s="1248"/>
      <c r="W11" s="1248"/>
      <c r="X11" s="11" t="s">
        <v>25</v>
      </c>
      <c r="Y11" s="1249" t="s">
        <v>23</v>
      </c>
      <c r="Z11" s="1251" t="s">
        <v>26</v>
      </c>
      <c r="AA11" s="1252"/>
      <c r="AB11" s="1252"/>
      <c r="AC11" s="12" t="s">
        <v>25</v>
      </c>
    </row>
    <row r="12" spans="1:29" s="8" customFormat="1" ht="28.5" hidden="1" customHeight="1" thickBot="1" x14ac:dyDescent="0.2">
      <c r="A12" s="1266"/>
      <c r="B12" s="1268"/>
      <c r="C12" s="1268"/>
      <c r="D12" s="1268"/>
      <c r="E12" s="1268"/>
      <c r="F12" s="1268"/>
      <c r="G12" s="1254"/>
      <c r="H12" s="1256"/>
      <c r="I12" s="1258"/>
      <c r="J12" s="1260"/>
      <c r="K12" s="13" t="s">
        <v>27</v>
      </c>
      <c r="L12" s="14" t="s">
        <v>28</v>
      </c>
      <c r="M12" s="14" t="s">
        <v>29</v>
      </c>
      <c r="N12" s="15" t="s">
        <v>30</v>
      </c>
      <c r="O12" s="1264"/>
      <c r="P12" s="16" t="s">
        <v>27</v>
      </c>
      <c r="Q12" s="17" t="s">
        <v>28</v>
      </c>
      <c r="R12" s="17" t="s">
        <v>29</v>
      </c>
      <c r="S12" s="18" t="s">
        <v>30</v>
      </c>
      <c r="T12" s="1246"/>
      <c r="U12" s="19" t="s">
        <v>27</v>
      </c>
      <c r="V12" s="20" t="s">
        <v>28</v>
      </c>
      <c r="W12" s="20" t="s">
        <v>29</v>
      </c>
      <c r="X12" s="21" t="s">
        <v>30</v>
      </c>
      <c r="Y12" s="1250"/>
      <c r="Z12" s="22" t="s">
        <v>27</v>
      </c>
      <c r="AA12" s="23" t="s">
        <v>28</v>
      </c>
      <c r="AB12" s="23" t="s">
        <v>29</v>
      </c>
      <c r="AC12" s="24" t="s">
        <v>30</v>
      </c>
    </row>
    <row r="13" spans="1:29" s="8" customFormat="1" ht="18" hidden="1" thickBot="1" x14ac:dyDescent="0.2">
      <c r="A13" s="25" t="s">
        <v>32</v>
      </c>
      <c r="B13" s="26" t="s">
        <v>33</v>
      </c>
      <c r="C13" s="27"/>
      <c r="D13" s="27"/>
      <c r="E13" s="27"/>
      <c r="F13" s="27"/>
      <c r="G13" s="28" t="s">
        <v>34</v>
      </c>
      <c r="H13" s="29" t="s">
        <v>35</v>
      </c>
      <c r="I13" s="30"/>
      <c r="J13" s="31">
        <f>K13+L13+M13+N13</f>
        <v>693898</v>
      </c>
      <c r="K13" s="32">
        <f>K14+K21</f>
        <v>176401</v>
      </c>
      <c r="L13" s="33">
        <f>L14+L21</f>
        <v>173589</v>
      </c>
      <c r="M13" s="33">
        <f>M14+M21</f>
        <v>177661</v>
      </c>
      <c r="N13" s="34">
        <f>N14+N21</f>
        <v>166247</v>
      </c>
      <c r="O13" s="35">
        <f>P13+Q13+R13+S13</f>
        <v>61800</v>
      </c>
      <c r="P13" s="32">
        <f>P21</f>
        <v>18303</v>
      </c>
      <c r="Q13" s="33">
        <f>Q21</f>
        <v>15589</v>
      </c>
      <c r="R13" s="33">
        <f>R21</f>
        <v>19661</v>
      </c>
      <c r="S13" s="36">
        <f>S21</f>
        <v>8247</v>
      </c>
      <c r="T13" s="31">
        <f>U13+V13+W13+X13</f>
        <v>276000</v>
      </c>
      <c r="U13" s="32">
        <f>U14+U21</f>
        <v>69000</v>
      </c>
      <c r="V13" s="32">
        <f>V14+V21</f>
        <v>69000</v>
      </c>
      <c r="W13" s="32">
        <f>W14+W21</f>
        <v>69000</v>
      </c>
      <c r="X13" s="35">
        <f>X14+X21</f>
        <v>69000</v>
      </c>
      <c r="Y13" s="35">
        <f>Z13+AA13+AB13+AC13</f>
        <v>356098</v>
      </c>
      <c r="Z13" s="32">
        <f>Z14+Z21</f>
        <v>89098</v>
      </c>
      <c r="AA13" s="32">
        <f>AA14+AA21</f>
        <v>89000</v>
      </c>
      <c r="AB13" s="32">
        <f>AB14+AB21</f>
        <v>89000</v>
      </c>
      <c r="AC13" s="34">
        <f>AC14+AC21</f>
        <v>89000</v>
      </c>
    </row>
    <row r="14" spans="1:29" s="8" customFormat="1" ht="16" hidden="1" x14ac:dyDescent="0.15">
      <c r="A14" s="37" t="s">
        <v>36</v>
      </c>
      <c r="B14" s="38" t="s">
        <v>33</v>
      </c>
      <c r="C14" s="39"/>
      <c r="D14" s="39"/>
      <c r="E14" s="39"/>
      <c r="F14" s="39"/>
      <c r="G14" s="40" t="s">
        <v>37</v>
      </c>
      <c r="H14" s="41" t="s">
        <v>38</v>
      </c>
      <c r="I14" s="42"/>
      <c r="J14" s="43">
        <f t="shared" ref="J14:J20" si="0">K14+L14+M14+N14</f>
        <v>632000</v>
      </c>
      <c r="K14" s="44">
        <f>K15</f>
        <v>158000</v>
      </c>
      <c r="L14" s="45">
        <f t="shared" ref="L14:N15" si="1">L15</f>
        <v>158000</v>
      </c>
      <c r="M14" s="45">
        <f t="shared" si="1"/>
        <v>158000</v>
      </c>
      <c r="N14" s="46">
        <f t="shared" si="1"/>
        <v>158000</v>
      </c>
      <c r="O14" s="47"/>
      <c r="P14" s="48"/>
      <c r="Q14" s="49"/>
      <c r="R14" s="49"/>
      <c r="S14" s="50"/>
      <c r="T14" s="51">
        <f t="shared" ref="T14:T50" si="2">U14+V14+W14+X14</f>
        <v>276000</v>
      </c>
      <c r="U14" s="52">
        <f>U15</f>
        <v>69000</v>
      </c>
      <c r="V14" s="53">
        <f t="shared" ref="V14:X15" si="3">V15</f>
        <v>69000</v>
      </c>
      <c r="W14" s="53">
        <f t="shared" si="3"/>
        <v>69000</v>
      </c>
      <c r="X14" s="54">
        <f t="shared" si="3"/>
        <v>69000</v>
      </c>
      <c r="Y14" s="55">
        <f t="shared" ref="Y14:Y50" si="4">Z14+AA14+AB14+AC14</f>
        <v>356000</v>
      </c>
      <c r="Z14" s="52">
        <f>Z15</f>
        <v>89000</v>
      </c>
      <c r="AA14" s="53">
        <f t="shared" ref="AA14:AC15" si="5">AA15</f>
        <v>89000</v>
      </c>
      <c r="AB14" s="53">
        <f t="shared" si="5"/>
        <v>89000</v>
      </c>
      <c r="AC14" s="54">
        <f t="shared" si="5"/>
        <v>89000</v>
      </c>
    </row>
    <row r="15" spans="1:29" s="8" customFormat="1" ht="16" hidden="1" x14ac:dyDescent="0.15">
      <c r="A15" s="56" t="s">
        <v>39</v>
      </c>
      <c r="B15" s="57" t="s">
        <v>33</v>
      </c>
      <c r="C15" s="58"/>
      <c r="D15" s="58"/>
      <c r="E15" s="58"/>
      <c r="F15" s="58"/>
      <c r="G15" s="59" t="s">
        <v>40</v>
      </c>
      <c r="H15" s="60" t="s">
        <v>41</v>
      </c>
      <c r="I15" s="61"/>
      <c r="J15" s="51">
        <f t="shared" si="0"/>
        <v>632000</v>
      </c>
      <c r="K15" s="62">
        <f>K16</f>
        <v>158000</v>
      </c>
      <c r="L15" s="53">
        <f t="shared" si="1"/>
        <v>158000</v>
      </c>
      <c r="M15" s="53">
        <f t="shared" si="1"/>
        <v>158000</v>
      </c>
      <c r="N15" s="54">
        <f t="shared" si="1"/>
        <v>158000</v>
      </c>
      <c r="O15" s="63"/>
      <c r="P15" s="64"/>
      <c r="Q15" s="65"/>
      <c r="R15" s="65"/>
      <c r="S15" s="66"/>
      <c r="T15" s="51">
        <f t="shared" si="2"/>
        <v>276000</v>
      </c>
      <c r="U15" s="52">
        <f>U16</f>
        <v>69000</v>
      </c>
      <c r="V15" s="53">
        <f t="shared" si="3"/>
        <v>69000</v>
      </c>
      <c r="W15" s="53">
        <f t="shared" si="3"/>
        <v>69000</v>
      </c>
      <c r="X15" s="54">
        <f t="shared" si="3"/>
        <v>69000</v>
      </c>
      <c r="Y15" s="55">
        <f t="shared" si="4"/>
        <v>356000</v>
      </c>
      <c r="Z15" s="52">
        <f>Z16</f>
        <v>89000</v>
      </c>
      <c r="AA15" s="53">
        <f t="shared" si="5"/>
        <v>89000</v>
      </c>
      <c r="AB15" s="53">
        <f t="shared" si="5"/>
        <v>89000</v>
      </c>
      <c r="AC15" s="54">
        <f t="shared" si="5"/>
        <v>89000</v>
      </c>
    </row>
    <row r="16" spans="1:29" s="8" customFormat="1" ht="16" hidden="1" x14ac:dyDescent="0.15">
      <c r="A16" s="56" t="s">
        <v>42</v>
      </c>
      <c r="B16" s="67" t="s">
        <v>33</v>
      </c>
      <c r="C16" s="58"/>
      <c r="D16" s="58"/>
      <c r="E16" s="58"/>
      <c r="F16" s="58"/>
      <c r="G16" s="59" t="s">
        <v>43</v>
      </c>
      <c r="H16" s="60" t="s">
        <v>42</v>
      </c>
      <c r="I16" s="61"/>
      <c r="J16" s="51">
        <f t="shared" si="0"/>
        <v>632000</v>
      </c>
      <c r="K16" s="62">
        <f>K17+K19</f>
        <v>158000</v>
      </c>
      <c r="L16" s="53">
        <f>L17+L19</f>
        <v>158000</v>
      </c>
      <c r="M16" s="53">
        <f>M17+M19</f>
        <v>158000</v>
      </c>
      <c r="N16" s="54">
        <f>N17+N19</f>
        <v>158000</v>
      </c>
      <c r="O16" s="63"/>
      <c r="P16" s="64"/>
      <c r="Q16" s="65"/>
      <c r="R16" s="65"/>
      <c r="S16" s="66"/>
      <c r="T16" s="51">
        <f t="shared" si="2"/>
        <v>276000</v>
      </c>
      <c r="U16" s="52">
        <f>U17+U19</f>
        <v>69000</v>
      </c>
      <c r="V16" s="53">
        <f>V17+V19</f>
        <v>69000</v>
      </c>
      <c r="W16" s="53">
        <f>W17+W19</f>
        <v>69000</v>
      </c>
      <c r="X16" s="54">
        <f>X17+X19</f>
        <v>69000</v>
      </c>
      <c r="Y16" s="55">
        <f t="shared" si="4"/>
        <v>356000</v>
      </c>
      <c r="Z16" s="52">
        <f>Z17+Z19</f>
        <v>89000</v>
      </c>
      <c r="AA16" s="53">
        <f>AA17+AA19</f>
        <v>89000</v>
      </c>
      <c r="AB16" s="53">
        <f>AB17+AB19</f>
        <v>89000</v>
      </c>
      <c r="AC16" s="54">
        <f>AC17+AC19</f>
        <v>89000</v>
      </c>
    </row>
    <row r="17" spans="1:29" s="8" customFormat="1" ht="16" hidden="1" x14ac:dyDescent="0.15">
      <c r="A17" s="68" t="s">
        <v>44</v>
      </c>
      <c r="B17" s="69"/>
      <c r="C17" s="70"/>
      <c r="D17" s="69"/>
      <c r="E17" s="58"/>
      <c r="F17" s="58"/>
      <c r="G17" s="59" t="s">
        <v>45</v>
      </c>
      <c r="H17" s="60" t="s">
        <v>44</v>
      </c>
      <c r="I17" s="61"/>
      <c r="J17" s="51">
        <f t="shared" si="0"/>
        <v>625000</v>
      </c>
      <c r="K17" s="62">
        <f>K18</f>
        <v>156250</v>
      </c>
      <c r="L17" s="53">
        <f>L18</f>
        <v>156250</v>
      </c>
      <c r="M17" s="53">
        <f>M18</f>
        <v>156250</v>
      </c>
      <c r="N17" s="54">
        <f>N18</f>
        <v>156250</v>
      </c>
      <c r="O17" s="63"/>
      <c r="P17" s="64"/>
      <c r="Q17" s="65"/>
      <c r="R17" s="65"/>
      <c r="S17" s="66"/>
      <c r="T17" s="51">
        <f t="shared" si="2"/>
        <v>272500</v>
      </c>
      <c r="U17" s="52">
        <f>U18</f>
        <v>68125</v>
      </c>
      <c r="V17" s="53">
        <f>V18</f>
        <v>68125</v>
      </c>
      <c r="W17" s="53">
        <f>W18</f>
        <v>68125</v>
      </c>
      <c r="X17" s="54">
        <f>X18</f>
        <v>68125</v>
      </c>
      <c r="Y17" s="55">
        <f t="shared" si="4"/>
        <v>352500</v>
      </c>
      <c r="Z17" s="52">
        <f>Z18</f>
        <v>88125</v>
      </c>
      <c r="AA17" s="53">
        <f>AA18</f>
        <v>88125</v>
      </c>
      <c r="AB17" s="53">
        <f>AB18</f>
        <v>88125</v>
      </c>
      <c r="AC17" s="54">
        <f>AC18</f>
        <v>88125</v>
      </c>
    </row>
    <row r="18" spans="1:29" s="8" customFormat="1" ht="16" hidden="1" x14ac:dyDescent="0.15">
      <c r="A18" s="71"/>
      <c r="B18" s="67" t="s">
        <v>46</v>
      </c>
      <c r="C18" s="69"/>
      <c r="D18" s="67"/>
      <c r="E18" s="58"/>
      <c r="F18" s="58"/>
      <c r="G18" s="72" t="s">
        <v>47</v>
      </c>
      <c r="H18" s="73" t="s">
        <v>48</v>
      </c>
      <c r="I18" s="74"/>
      <c r="J18" s="75">
        <f t="shared" si="0"/>
        <v>625000</v>
      </c>
      <c r="K18" s="76">
        <f>P18+U18+Z18</f>
        <v>156250</v>
      </c>
      <c r="L18" s="77">
        <f>Q18+V18+AA18</f>
        <v>156250</v>
      </c>
      <c r="M18" s="77">
        <f>R18+W18+AB18</f>
        <v>156250</v>
      </c>
      <c r="N18" s="78">
        <f>S18+X18+AC18</f>
        <v>156250</v>
      </c>
      <c r="O18" s="79"/>
      <c r="P18" s="80"/>
      <c r="Q18" s="81"/>
      <c r="R18" s="81"/>
      <c r="S18" s="82"/>
      <c r="T18" s="75">
        <f t="shared" si="2"/>
        <v>272500</v>
      </c>
      <c r="U18" s="83">
        <v>68125</v>
      </c>
      <c r="V18" s="84">
        <v>68125</v>
      </c>
      <c r="W18" s="84">
        <v>68125</v>
      </c>
      <c r="X18" s="85">
        <v>68125</v>
      </c>
      <c r="Y18" s="86">
        <f t="shared" si="4"/>
        <v>352500</v>
      </c>
      <c r="Z18" s="83">
        <f>88125</f>
        <v>88125</v>
      </c>
      <c r="AA18" s="84">
        <v>88125</v>
      </c>
      <c r="AB18" s="84">
        <v>88125</v>
      </c>
      <c r="AC18" s="85">
        <v>88125</v>
      </c>
    </row>
    <row r="19" spans="1:29" s="8" customFormat="1" ht="16" hidden="1" x14ac:dyDescent="0.15">
      <c r="A19" s="68" t="s">
        <v>49</v>
      </c>
      <c r="B19" s="70"/>
      <c r="C19" s="70"/>
      <c r="D19" s="57"/>
      <c r="E19" s="58"/>
      <c r="F19" s="58"/>
      <c r="G19" s="59" t="s">
        <v>50</v>
      </c>
      <c r="H19" s="60" t="s">
        <v>51</v>
      </c>
      <c r="I19" s="61"/>
      <c r="J19" s="51">
        <f t="shared" si="0"/>
        <v>7000</v>
      </c>
      <c r="K19" s="62">
        <f>K20</f>
        <v>1750</v>
      </c>
      <c r="L19" s="53">
        <f>L20</f>
        <v>1750</v>
      </c>
      <c r="M19" s="53">
        <f>M20</f>
        <v>1750</v>
      </c>
      <c r="N19" s="54">
        <f>N20</f>
        <v>1750</v>
      </c>
      <c r="O19" s="63"/>
      <c r="P19" s="64"/>
      <c r="Q19" s="65"/>
      <c r="R19" s="65"/>
      <c r="S19" s="66"/>
      <c r="T19" s="51">
        <f t="shared" si="2"/>
        <v>3500</v>
      </c>
      <c r="U19" s="52">
        <f>U20</f>
        <v>875</v>
      </c>
      <c r="V19" s="53">
        <f>V20</f>
        <v>875</v>
      </c>
      <c r="W19" s="53">
        <f>W20</f>
        <v>875</v>
      </c>
      <c r="X19" s="54">
        <f>X20</f>
        <v>875</v>
      </c>
      <c r="Y19" s="55">
        <f t="shared" si="4"/>
        <v>3500</v>
      </c>
      <c r="Z19" s="52">
        <f>Z20</f>
        <v>875</v>
      </c>
      <c r="AA19" s="53">
        <f>AA20</f>
        <v>875</v>
      </c>
      <c r="AB19" s="53">
        <f>AB20</f>
        <v>875</v>
      </c>
      <c r="AC19" s="54">
        <f>AC20</f>
        <v>875</v>
      </c>
    </row>
    <row r="20" spans="1:29" s="8" customFormat="1" ht="17" hidden="1" thickBot="1" x14ac:dyDescent="0.2">
      <c r="A20" s="87"/>
      <c r="B20" s="88" t="s">
        <v>52</v>
      </c>
      <c r="C20" s="89"/>
      <c r="D20" s="88"/>
      <c r="E20" s="90"/>
      <c r="F20" s="90"/>
      <c r="G20" s="91" t="s">
        <v>53</v>
      </c>
      <c r="H20" s="92" t="s">
        <v>54</v>
      </c>
      <c r="I20" s="93"/>
      <c r="J20" s="94">
        <f t="shared" si="0"/>
        <v>7000</v>
      </c>
      <c r="K20" s="95">
        <f>P20+U20+Z20</f>
        <v>1750</v>
      </c>
      <c r="L20" s="96">
        <f>Q20+V20+AA20</f>
        <v>1750</v>
      </c>
      <c r="M20" s="96">
        <f>R20+W20+AB20</f>
        <v>1750</v>
      </c>
      <c r="N20" s="97">
        <f>S20+X20+AC20</f>
        <v>1750</v>
      </c>
      <c r="O20" s="98"/>
      <c r="P20" s="99"/>
      <c r="Q20" s="100"/>
      <c r="R20" s="100"/>
      <c r="S20" s="101"/>
      <c r="T20" s="94">
        <f t="shared" si="2"/>
        <v>3500</v>
      </c>
      <c r="U20" s="102">
        <v>875</v>
      </c>
      <c r="V20" s="96">
        <v>875</v>
      </c>
      <c r="W20" s="96">
        <v>875</v>
      </c>
      <c r="X20" s="97">
        <v>875</v>
      </c>
      <c r="Y20" s="103">
        <f t="shared" si="4"/>
        <v>3500</v>
      </c>
      <c r="Z20" s="102">
        <v>875</v>
      </c>
      <c r="AA20" s="96">
        <v>875</v>
      </c>
      <c r="AB20" s="96">
        <v>875</v>
      </c>
      <c r="AC20" s="97">
        <v>875</v>
      </c>
    </row>
    <row r="21" spans="1:29" s="8" customFormat="1" hidden="1" x14ac:dyDescent="0.15">
      <c r="A21" s="104"/>
      <c r="B21" s="105"/>
      <c r="C21" s="106"/>
      <c r="D21" s="106"/>
      <c r="E21" s="106"/>
      <c r="F21" s="106"/>
      <c r="G21" s="107" t="s">
        <v>55</v>
      </c>
      <c r="H21" s="108"/>
      <c r="I21" s="109"/>
      <c r="J21" s="43">
        <f>K21+L21+M21+N21</f>
        <v>61898</v>
      </c>
      <c r="K21" s="44">
        <f>K22+K24</f>
        <v>18401</v>
      </c>
      <c r="L21" s="45">
        <f>L22+L24</f>
        <v>15589</v>
      </c>
      <c r="M21" s="45">
        <f>M22+M24</f>
        <v>19661</v>
      </c>
      <c r="N21" s="46">
        <f>N22+N24</f>
        <v>8247</v>
      </c>
      <c r="O21" s="110">
        <f>P21+Q21+R21+S21</f>
        <v>61800</v>
      </c>
      <c r="P21" s="44">
        <f>P22+P24</f>
        <v>18303</v>
      </c>
      <c r="Q21" s="45">
        <f>Q22+Q24</f>
        <v>15589</v>
      </c>
      <c r="R21" s="45">
        <f>R22+R24</f>
        <v>19661</v>
      </c>
      <c r="S21" s="111">
        <f>S22+S24</f>
        <v>8247</v>
      </c>
      <c r="T21" s="43">
        <f t="shared" si="2"/>
        <v>0</v>
      </c>
      <c r="U21" s="44">
        <f>U22+U24</f>
        <v>0</v>
      </c>
      <c r="V21" s="45">
        <f>V22+V24</f>
        <v>0</v>
      </c>
      <c r="W21" s="45">
        <f>W22+W24</f>
        <v>0</v>
      </c>
      <c r="X21" s="46">
        <f>X22+X24</f>
        <v>0</v>
      </c>
      <c r="Y21" s="110">
        <f t="shared" si="4"/>
        <v>98</v>
      </c>
      <c r="Z21" s="44">
        <f>Z22+Z24</f>
        <v>98</v>
      </c>
      <c r="AA21" s="45">
        <f>AA22+AA24</f>
        <v>0</v>
      </c>
      <c r="AB21" s="45">
        <f>AB22+AB24</f>
        <v>0</v>
      </c>
      <c r="AC21" s="46">
        <f>AC22+AC24</f>
        <v>0</v>
      </c>
    </row>
    <row r="22" spans="1:29" s="8" customFormat="1" ht="16" hidden="1" x14ac:dyDescent="0.15">
      <c r="A22" s="112" t="s">
        <v>56</v>
      </c>
      <c r="B22" s="113"/>
      <c r="C22" s="114"/>
      <c r="D22" s="114"/>
      <c r="E22" s="114"/>
      <c r="F22" s="114"/>
      <c r="G22" s="115" t="s">
        <v>57</v>
      </c>
      <c r="H22" s="116" t="s">
        <v>56</v>
      </c>
      <c r="I22" s="117"/>
      <c r="J22" s="51">
        <f t="shared" ref="J22:J50" si="6">K22+L22+M22+N22</f>
        <v>61800</v>
      </c>
      <c r="K22" s="62">
        <f>K23</f>
        <v>18303</v>
      </c>
      <c r="L22" s="53">
        <f>L23</f>
        <v>15589</v>
      </c>
      <c r="M22" s="53">
        <f>M23</f>
        <v>19661</v>
      </c>
      <c r="N22" s="54">
        <f>N23</f>
        <v>8247</v>
      </c>
      <c r="O22" s="55">
        <f t="shared" ref="O22:O50" si="7">P22+Q22+R22+S22</f>
        <v>61800</v>
      </c>
      <c r="P22" s="62">
        <f>P23</f>
        <v>18303</v>
      </c>
      <c r="Q22" s="53">
        <f>Q23</f>
        <v>15589</v>
      </c>
      <c r="R22" s="53">
        <f>R23</f>
        <v>19661</v>
      </c>
      <c r="S22" s="118">
        <f>S23</f>
        <v>8247</v>
      </c>
      <c r="T22" s="51">
        <f t="shared" si="2"/>
        <v>0</v>
      </c>
      <c r="U22" s="62">
        <f>U23</f>
        <v>0</v>
      </c>
      <c r="V22" s="53">
        <f>V23</f>
        <v>0</v>
      </c>
      <c r="W22" s="53">
        <f>W23</f>
        <v>0</v>
      </c>
      <c r="X22" s="54">
        <f>X23</f>
        <v>0</v>
      </c>
      <c r="Y22" s="55">
        <f t="shared" si="4"/>
        <v>0</v>
      </c>
      <c r="Z22" s="62">
        <f>Z23</f>
        <v>0</v>
      </c>
      <c r="AA22" s="53">
        <f>AA23</f>
        <v>0</v>
      </c>
      <c r="AB22" s="53">
        <f>AB23</f>
        <v>0</v>
      </c>
      <c r="AC22" s="54">
        <f>AC23</f>
        <v>0</v>
      </c>
    </row>
    <row r="23" spans="1:29" s="8" customFormat="1" ht="16" hidden="1" x14ac:dyDescent="0.15">
      <c r="A23" s="119"/>
      <c r="B23" s="120" t="s">
        <v>58</v>
      </c>
      <c r="C23" s="120"/>
      <c r="D23" s="121"/>
      <c r="E23" s="121"/>
      <c r="F23" s="121"/>
      <c r="G23" s="122" t="s">
        <v>59</v>
      </c>
      <c r="H23" s="123" t="s">
        <v>60</v>
      </c>
      <c r="I23" s="124"/>
      <c r="J23" s="94">
        <f t="shared" si="6"/>
        <v>61800</v>
      </c>
      <c r="K23" s="95">
        <f t="shared" ref="K23:N26" si="8">P23+U23+Z23</f>
        <v>18303</v>
      </c>
      <c r="L23" s="96">
        <f t="shared" si="8"/>
        <v>15589</v>
      </c>
      <c r="M23" s="96">
        <f t="shared" si="8"/>
        <v>19661</v>
      </c>
      <c r="N23" s="97">
        <f t="shared" si="8"/>
        <v>8247</v>
      </c>
      <c r="O23" s="103">
        <f t="shared" si="7"/>
        <v>61800</v>
      </c>
      <c r="P23" s="95">
        <f>19661-1358</f>
        <v>18303</v>
      </c>
      <c r="Q23" s="96">
        <f>19661-4072</f>
        <v>15589</v>
      </c>
      <c r="R23" s="96">
        <v>19661</v>
      </c>
      <c r="S23" s="125">
        <f>19660-11413</f>
        <v>8247</v>
      </c>
      <c r="T23" s="94">
        <f t="shared" si="2"/>
        <v>0</v>
      </c>
      <c r="U23" s="95">
        <v>0</v>
      </c>
      <c r="V23" s="96">
        <v>0</v>
      </c>
      <c r="W23" s="96">
        <v>0</v>
      </c>
      <c r="X23" s="97">
        <v>0</v>
      </c>
      <c r="Y23" s="103">
        <f t="shared" si="4"/>
        <v>0</v>
      </c>
      <c r="Z23" s="95">
        <v>0</v>
      </c>
      <c r="AA23" s="96">
        <v>0</v>
      </c>
      <c r="AB23" s="96">
        <v>0</v>
      </c>
      <c r="AC23" s="97">
        <v>0</v>
      </c>
    </row>
    <row r="24" spans="1:29" s="134" customFormat="1" ht="42" hidden="1" customHeight="1" x14ac:dyDescent="0.15">
      <c r="A24" s="126" t="s">
        <v>61</v>
      </c>
      <c r="B24" s="127"/>
      <c r="C24" s="128"/>
      <c r="D24" s="129"/>
      <c r="E24" s="129"/>
      <c r="F24" s="129"/>
      <c r="G24" s="130" t="s">
        <v>62</v>
      </c>
      <c r="H24" s="131" t="s">
        <v>61</v>
      </c>
      <c r="I24" s="132"/>
      <c r="J24" s="133">
        <f t="shared" si="6"/>
        <v>98</v>
      </c>
      <c r="K24" s="62">
        <f t="shared" si="8"/>
        <v>98</v>
      </c>
      <c r="L24" s="53">
        <f t="shared" si="8"/>
        <v>0</v>
      </c>
      <c r="M24" s="53">
        <f t="shared" si="8"/>
        <v>0</v>
      </c>
      <c r="N24" s="54">
        <f t="shared" si="8"/>
        <v>0</v>
      </c>
      <c r="O24" s="55">
        <f t="shared" si="7"/>
        <v>0</v>
      </c>
      <c r="P24" s="62">
        <f>P25</f>
        <v>0</v>
      </c>
      <c r="Q24" s="53">
        <f t="shared" ref="Q24:S25" si="9">Q25</f>
        <v>0</v>
      </c>
      <c r="R24" s="53">
        <f t="shared" si="9"/>
        <v>0</v>
      </c>
      <c r="S24" s="118">
        <f t="shared" si="9"/>
        <v>0</v>
      </c>
      <c r="T24" s="51">
        <f t="shared" si="2"/>
        <v>0</v>
      </c>
      <c r="U24" s="62">
        <f>U25</f>
        <v>0</v>
      </c>
      <c r="V24" s="53">
        <f t="shared" ref="V24:X25" si="10">V25</f>
        <v>0</v>
      </c>
      <c r="W24" s="53">
        <f t="shared" si="10"/>
        <v>0</v>
      </c>
      <c r="X24" s="54">
        <f t="shared" si="10"/>
        <v>0</v>
      </c>
      <c r="Y24" s="55">
        <f t="shared" si="4"/>
        <v>98</v>
      </c>
      <c r="Z24" s="62">
        <f>Z25</f>
        <v>98</v>
      </c>
      <c r="AA24" s="53">
        <f t="shared" ref="AA24:AC25" si="11">AA25</f>
        <v>0</v>
      </c>
      <c r="AB24" s="53">
        <f t="shared" si="11"/>
        <v>0</v>
      </c>
      <c r="AC24" s="54">
        <f t="shared" si="11"/>
        <v>0</v>
      </c>
    </row>
    <row r="25" spans="1:29" s="8" customFormat="1" ht="16" hidden="1" x14ac:dyDescent="0.15">
      <c r="A25" s="135"/>
      <c r="B25" s="136" t="s">
        <v>63</v>
      </c>
      <c r="C25" s="136"/>
      <c r="D25" s="114"/>
      <c r="E25" s="114"/>
      <c r="F25" s="114"/>
      <c r="G25" s="137" t="s">
        <v>64</v>
      </c>
      <c r="H25" s="138" t="s">
        <v>65</v>
      </c>
      <c r="I25" s="139"/>
      <c r="J25" s="94">
        <f t="shared" si="6"/>
        <v>98</v>
      </c>
      <c r="K25" s="76">
        <f t="shared" si="8"/>
        <v>98</v>
      </c>
      <c r="L25" s="77">
        <f t="shared" si="8"/>
        <v>0</v>
      </c>
      <c r="M25" s="77">
        <f t="shared" si="8"/>
        <v>0</v>
      </c>
      <c r="N25" s="78">
        <f t="shared" si="8"/>
        <v>0</v>
      </c>
      <c r="O25" s="86">
        <f t="shared" si="7"/>
        <v>0</v>
      </c>
      <c r="P25" s="76">
        <f>P26</f>
        <v>0</v>
      </c>
      <c r="Q25" s="77">
        <f t="shared" si="9"/>
        <v>0</v>
      </c>
      <c r="R25" s="77">
        <f t="shared" si="9"/>
        <v>0</v>
      </c>
      <c r="S25" s="140">
        <f t="shared" si="9"/>
        <v>0</v>
      </c>
      <c r="T25" s="75">
        <f t="shared" si="2"/>
        <v>0</v>
      </c>
      <c r="U25" s="76">
        <f>U26</f>
        <v>0</v>
      </c>
      <c r="V25" s="77">
        <f t="shared" si="10"/>
        <v>0</v>
      </c>
      <c r="W25" s="77">
        <f t="shared" si="10"/>
        <v>0</v>
      </c>
      <c r="X25" s="78">
        <f t="shared" si="10"/>
        <v>0</v>
      </c>
      <c r="Y25" s="86">
        <f t="shared" si="4"/>
        <v>98</v>
      </c>
      <c r="Z25" s="76">
        <f>Z26</f>
        <v>98</v>
      </c>
      <c r="AA25" s="77">
        <f t="shared" si="11"/>
        <v>0</v>
      </c>
      <c r="AB25" s="77">
        <f t="shared" si="11"/>
        <v>0</v>
      </c>
      <c r="AC25" s="78">
        <f t="shared" si="11"/>
        <v>0</v>
      </c>
    </row>
    <row r="26" spans="1:29" s="8" customFormat="1" ht="17" hidden="1" thickBot="1" x14ac:dyDescent="0.2">
      <c r="A26" s="141"/>
      <c r="B26" s="142"/>
      <c r="C26" s="142" t="s">
        <v>66</v>
      </c>
      <c r="D26" s="143"/>
      <c r="E26" s="143"/>
      <c r="F26" s="143"/>
      <c r="G26" s="144" t="s">
        <v>67</v>
      </c>
      <c r="H26" s="145" t="s">
        <v>68</v>
      </c>
      <c r="I26" s="146"/>
      <c r="J26" s="94">
        <f t="shared" si="6"/>
        <v>98</v>
      </c>
      <c r="K26" s="95">
        <f t="shared" si="8"/>
        <v>98</v>
      </c>
      <c r="L26" s="96">
        <f t="shared" si="8"/>
        <v>0</v>
      </c>
      <c r="M26" s="96">
        <f t="shared" si="8"/>
        <v>0</v>
      </c>
      <c r="N26" s="97">
        <f t="shared" si="8"/>
        <v>0</v>
      </c>
      <c r="O26" s="103">
        <f t="shared" si="7"/>
        <v>0</v>
      </c>
      <c r="P26" s="95">
        <f>P170</f>
        <v>0</v>
      </c>
      <c r="Q26" s="96">
        <f>Q170</f>
        <v>0</v>
      </c>
      <c r="R26" s="96">
        <f>R170</f>
        <v>0</v>
      </c>
      <c r="S26" s="125">
        <f>S170</f>
        <v>0</v>
      </c>
      <c r="T26" s="94">
        <f t="shared" si="2"/>
        <v>0</v>
      </c>
      <c r="U26" s="95">
        <f>U174</f>
        <v>0</v>
      </c>
      <c r="V26" s="96">
        <f>V174</f>
        <v>0</v>
      </c>
      <c r="W26" s="96">
        <f>W174</f>
        <v>0</v>
      </c>
      <c r="X26" s="97">
        <f>X174</f>
        <v>0</v>
      </c>
      <c r="Y26" s="103">
        <f t="shared" si="4"/>
        <v>98</v>
      </c>
      <c r="Z26" s="95">
        <f>57+41</f>
        <v>98</v>
      </c>
      <c r="AA26" s="96">
        <v>0</v>
      </c>
      <c r="AB26" s="96">
        <v>0</v>
      </c>
      <c r="AC26" s="96">
        <v>0</v>
      </c>
    </row>
    <row r="27" spans="1:29" s="164" customFormat="1" hidden="1" x14ac:dyDescent="0.15">
      <c r="A27" s="1285" t="s">
        <v>69</v>
      </c>
      <c r="B27" s="1287"/>
      <c r="C27" s="1287"/>
      <c r="D27" s="1287"/>
      <c r="E27" s="1287"/>
      <c r="F27" s="1287"/>
      <c r="G27" s="1289" t="s">
        <v>70</v>
      </c>
      <c r="H27" s="1271" t="s">
        <v>71</v>
      </c>
      <c r="I27" s="147" t="s">
        <v>72</v>
      </c>
      <c r="J27" s="148">
        <f t="shared" si="6"/>
        <v>2295620</v>
      </c>
      <c r="K27" s="149">
        <f t="shared" ref="K27:N28" si="12">K29+K41</f>
        <v>2288541</v>
      </c>
      <c r="L27" s="150">
        <f t="shared" si="12"/>
        <v>0</v>
      </c>
      <c r="M27" s="150">
        <f t="shared" si="12"/>
        <v>5469</v>
      </c>
      <c r="N27" s="151">
        <f t="shared" si="12"/>
        <v>1610</v>
      </c>
      <c r="O27" s="152">
        <f t="shared" si="7"/>
        <v>1172689</v>
      </c>
      <c r="P27" s="153">
        <f t="shared" ref="P27:S28" si="13">P29+P41</f>
        <v>1172689</v>
      </c>
      <c r="Q27" s="154">
        <f t="shared" si="13"/>
        <v>0</v>
      </c>
      <c r="R27" s="154">
        <f t="shared" si="13"/>
        <v>0</v>
      </c>
      <c r="S27" s="155">
        <f t="shared" si="13"/>
        <v>0</v>
      </c>
      <c r="T27" s="156">
        <f t="shared" si="2"/>
        <v>694794</v>
      </c>
      <c r="U27" s="157">
        <f t="shared" ref="U27:X28" si="14">U29+U41</f>
        <v>694794</v>
      </c>
      <c r="V27" s="158">
        <f t="shared" si="14"/>
        <v>0</v>
      </c>
      <c r="W27" s="158">
        <f t="shared" si="14"/>
        <v>0</v>
      </c>
      <c r="X27" s="159">
        <f t="shared" si="14"/>
        <v>0</v>
      </c>
      <c r="Y27" s="160">
        <f t="shared" si="4"/>
        <v>428137</v>
      </c>
      <c r="Z27" s="161">
        <f t="shared" ref="Z27:AC28" si="15">Z29+Z41</f>
        <v>421058</v>
      </c>
      <c r="AA27" s="162">
        <f t="shared" si="15"/>
        <v>0</v>
      </c>
      <c r="AB27" s="162">
        <f t="shared" si="15"/>
        <v>5469</v>
      </c>
      <c r="AC27" s="163">
        <f t="shared" si="15"/>
        <v>1610</v>
      </c>
    </row>
    <row r="28" spans="1:29" s="8" customFormat="1" ht="16" hidden="1" thickBot="1" x14ac:dyDescent="0.2">
      <c r="A28" s="1286"/>
      <c r="B28" s="1288"/>
      <c r="C28" s="1288"/>
      <c r="D28" s="1288"/>
      <c r="E28" s="1288"/>
      <c r="F28" s="1288"/>
      <c r="G28" s="1290"/>
      <c r="H28" s="1291"/>
      <c r="I28" s="165" t="s">
        <v>73</v>
      </c>
      <c r="J28" s="166">
        <f t="shared" si="6"/>
        <v>1048777</v>
      </c>
      <c r="K28" s="167">
        <f t="shared" si="12"/>
        <v>330242</v>
      </c>
      <c r="L28" s="168">
        <f t="shared" si="12"/>
        <v>251100</v>
      </c>
      <c r="M28" s="168">
        <f t="shared" si="12"/>
        <v>237253</v>
      </c>
      <c r="N28" s="169">
        <f t="shared" si="12"/>
        <v>230182</v>
      </c>
      <c r="O28" s="170">
        <f t="shared" si="7"/>
        <v>61800</v>
      </c>
      <c r="P28" s="171">
        <f t="shared" si="13"/>
        <v>18303</v>
      </c>
      <c r="Q28" s="172">
        <f t="shared" si="13"/>
        <v>15589</v>
      </c>
      <c r="R28" s="172">
        <f t="shared" si="13"/>
        <v>19661</v>
      </c>
      <c r="S28" s="173">
        <f t="shared" si="13"/>
        <v>8247</v>
      </c>
      <c r="T28" s="174">
        <f t="shared" si="2"/>
        <v>553786</v>
      </c>
      <c r="U28" s="175">
        <f t="shared" si="14"/>
        <v>182598</v>
      </c>
      <c r="V28" s="176">
        <f t="shared" si="14"/>
        <v>128840</v>
      </c>
      <c r="W28" s="176">
        <f t="shared" si="14"/>
        <v>109902</v>
      </c>
      <c r="X28" s="177">
        <f t="shared" si="14"/>
        <v>132446</v>
      </c>
      <c r="Y28" s="178">
        <f t="shared" si="4"/>
        <v>433191</v>
      </c>
      <c r="Z28" s="179">
        <f t="shared" si="15"/>
        <v>129341</v>
      </c>
      <c r="AA28" s="180">
        <f t="shared" si="15"/>
        <v>106671</v>
      </c>
      <c r="AB28" s="180">
        <f t="shared" si="15"/>
        <v>107690</v>
      </c>
      <c r="AC28" s="181">
        <f t="shared" si="15"/>
        <v>89489</v>
      </c>
    </row>
    <row r="29" spans="1:29" s="164" customFormat="1" hidden="1" x14ac:dyDescent="0.15">
      <c r="A29" s="1282"/>
      <c r="B29" s="1283"/>
      <c r="C29" s="1283"/>
      <c r="D29" s="1284" t="s">
        <v>74</v>
      </c>
      <c r="E29" s="1283"/>
      <c r="F29" s="1283"/>
      <c r="G29" s="1269" t="s">
        <v>75</v>
      </c>
      <c r="H29" s="1271" t="s">
        <v>76</v>
      </c>
      <c r="I29" s="147" t="s">
        <v>72</v>
      </c>
      <c r="J29" s="148">
        <f>K29+L29+M29+N29</f>
        <v>2280661</v>
      </c>
      <c r="K29" s="149">
        <f t="shared" ref="K29:N30" si="16">K31+K33+K35+K37+K39</f>
        <v>2280161</v>
      </c>
      <c r="L29" s="150">
        <f t="shared" si="16"/>
        <v>0</v>
      </c>
      <c r="M29" s="150">
        <f t="shared" si="16"/>
        <v>500</v>
      </c>
      <c r="N29" s="151">
        <f t="shared" si="16"/>
        <v>0</v>
      </c>
      <c r="O29" s="152">
        <f t="shared" si="7"/>
        <v>1172689</v>
      </c>
      <c r="P29" s="153">
        <f t="shared" ref="P29:S30" si="17">P31+P33+P35+P37+P39</f>
        <v>1172689</v>
      </c>
      <c r="Q29" s="154">
        <f t="shared" si="17"/>
        <v>0</v>
      </c>
      <c r="R29" s="154">
        <f t="shared" si="17"/>
        <v>0</v>
      </c>
      <c r="S29" s="155">
        <f t="shared" si="17"/>
        <v>0</v>
      </c>
      <c r="T29" s="156">
        <f t="shared" si="2"/>
        <v>693378</v>
      </c>
      <c r="U29" s="157">
        <f t="shared" ref="U29:X30" si="18">U31+U33+U35+U37+U39</f>
        <v>693378</v>
      </c>
      <c r="V29" s="158">
        <f t="shared" si="18"/>
        <v>0</v>
      </c>
      <c r="W29" s="158">
        <f t="shared" si="18"/>
        <v>0</v>
      </c>
      <c r="X29" s="159">
        <f t="shared" si="18"/>
        <v>0</v>
      </c>
      <c r="Y29" s="160">
        <f t="shared" si="4"/>
        <v>414594</v>
      </c>
      <c r="Z29" s="161">
        <f t="shared" ref="Z29:AC30" si="19">Z31+Z33+Z35+Z37+Z39</f>
        <v>414094</v>
      </c>
      <c r="AA29" s="162">
        <f t="shared" si="19"/>
        <v>0</v>
      </c>
      <c r="AB29" s="162">
        <f t="shared" si="19"/>
        <v>500</v>
      </c>
      <c r="AC29" s="163">
        <f t="shared" si="19"/>
        <v>0</v>
      </c>
    </row>
    <row r="30" spans="1:29" s="8" customFormat="1" hidden="1" x14ac:dyDescent="0.15">
      <c r="A30" s="1274"/>
      <c r="B30" s="1276"/>
      <c r="C30" s="1276"/>
      <c r="D30" s="1278"/>
      <c r="E30" s="1276"/>
      <c r="F30" s="1276"/>
      <c r="G30" s="1270"/>
      <c r="H30" s="1272"/>
      <c r="I30" s="182" t="s">
        <v>73</v>
      </c>
      <c r="J30" s="183">
        <f>K30+L30+M30+N30</f>
        <v>1028805</v>
      </c>
      <c r="K30" s="184">
        <f t="shared" si="16"/>
        <v>323560</v>
      </c>
      <c r="L30" s="185">
        <f t="shared" si="16"/>
        <v>246606</v>
      </c>
      <c r="M30" s="185">
        <f t="shared" si="16"/>
        <v>229833</v>
      </c>
      <c r="N30" s="186">
        <f t="shared" si="16"/>
        <v>228806</v>
      </c>
      <c r="O30" s="187">
        <f t="shared" si="7"/>
        <v>61800</v>
      </c>
      <c r="P30" s="188">
        <f t="shared" si="17"/>
        <v>18303</v>
      </c>
      <c r="Q30" s="189">
        <f t="shared" si="17"/>
        <v>15589</v>
      </c>
      <c r="R30" s="189">
        <f t="shared" si="17"/>
        <v>19661</v>
      </c>
      <c r="S30" s="190">
        <f t="shared" si="17"/>
        <v>8247</v>
      </c>
      <c r="T30" s="191">
        <f t="shared" si="2"/>
        <v>552370</v>
      </c>
      <c r="U30" s="192">
        <f t="shared" si="18"/>
        <v>182446</v>
      </c>
      <c r="V30" s="193">
        <f t="shared" si="18"/>
        <v>127576</v>
      </c>
      <c r="W30" s="193">
        <f t="shared" si="18"/>
        <v>109902</v>
      </c>
      <c r="X30" s="194">
        <f t="shared" si="18"/>
        <v>132446</v>
      </c>
      <c r="Y30" s="195">
        <f t="shared" si="4"/>
        <v>414635</v>
      </c>
      <c r="Z30" s="196">
        <f t="shared" si="19"/>
        <v>122811</v>
      </c>
      <c r="AA30" s="197">
        <f t="shared" si="19"/>
        <v>103441</v>
      </c>
      <c r="AB30" s="197">
        <f t="shared" si="19"/>
        <v>100270</v>
      </c>
      <c r="AC30" s="198">
        <f t="shared" si="19"/>
        <v>88113</v>
      </c>
    </row>
    <row r="31" spans="1:29" s="164" customFormat="1" hidden="1" x14ac:dyDescent="0.15">
      <c r="A31" s="1273"/>
      <c r="B31" s="1275"/>
      <c r="C31" s="1275"/>
      <c r="D31" s="1277" t="s">
        <v>33</v>
      </c>
      <c r="E31" s="1275"/>
      <c r="F31" s="1275"/>
      <c r="G31" s="1279" t="s">
        <v>77</v>
      </c>
      <c r="H31" s="1281" t="s">
        <v>78</v>
      </c>
      <c r="I31" s="199" t="s">
        <v>72</v>
      </c>
      <c r="J31" s="200">
        <f>K31+L31+M31+N31</f>
        <v>394837</v>
      </c>
      <c r="K31" s="201">
        <f t="shared" ref="K31:N32" si="20">K49</f>
        <v>394837</v>
      </c>
      <c r="L31" s="202">
        <f t="shared" si="20"/>
        <v>0</v>
      </c>
      <c r="M31" s="202">
        <f t="shared" si="20"/>
        <v>0</v>
      </c>
      <c r="N31" s="203">
        <f t="shared" si="20"/>
        <v>0</v>
      </c>
      <c r="O31" s="204">
        <f t="shared" si="7"/>
        <v>0</v>
      </c>
      <c r="P31" s="205">
        <f t="shared" ref="P31:S32" si="21">P49</f>
        <v>0</v>
      </c>
      <c r="Q31" s="206">
        <f t="shared" si="21"/>
        <v>0</v>
      </c>
      <c r="R31" s="206">
        <f t="shared" si="21"/>
        <v>0</v>
      </c>
      <c r="S31" s="207">
        <f t="shared" si="21"/>
        <v>0</v>
      </c>
      <c r="T31" s="208">
        <f t="shared" si="2"/>
        <v>59000</v>
      </c>
      <c r="U31" s="209">
        <f t="shared" ref="U31:X32" si="22">U49</f>
        <v>59000</v>
      </c>
      <c r="V31" s="210">
        <f t="shared" si="22"/>
        <v>0</v>
      </c>
      <c r="W31" s="210">
        <f t="shared" si="22"/>
        <v>0</v>
      </c>
      <c r="X31" s="211">
        <f t="shared" si="22"/>
        <v>0</v>
      </c>
      <c r="Y31" s="212">
        <f t="shared" si="4"/>
        <v>335837</v>
      </c>
      <c r="Z31" s="213">
        <f t="shared" ref="Z31:AC32" si="23">Z49</f>
        <v>335837</v>
      </c>
      <c r="AA31" s="214">
        <f t="shared" si="23"/>
        <v>0</v>
      </c>
      <c r="AB31" s="214">
        <f t="shared" si="23"/>
        <v>0</v>
      </c>
      <c r="AC31" s="215">
        <f t="shared" si="23"/>
        <v>0</v>
      </c>
    </row>
    <row r="32" spans="1:29" s="8" customFormat="1" hidden="1" x14ac:dyDescent="0.15">
      <c r="A32" s="1274"/>
      <c r="B32" s="1276"/>
      <c r="C32" s="1276"/>
      <c r="D32" s="1278"/>
      <c r="E32" s="1276"/>
      <c r="F32" s="1276"/>
      <c r="G32" s="1280"/>
      <c r="H32" s="1272"/>
      <c r="I32" s="216" t="s">
        <v>73</v>
      </c>
      <c r="J32" s="217">
        <f t="shared" si="6"/>
        <v>394837</v>
      </c>
      <c r="K32" s="184">
        <f t="shared" si="20"/>
        <v>110124</v>
      </c>
      <c r="L32" s="185">
        <f t="shared" si="20"/>
        <v>100454</v>
      </c>
      <c r="M32" s="185">
        <f t="shared" si="20"/>
        <v>99415</v>
      </c>
      <c r="N32" s="186">
        <f t="shared" si="20"/>
        <v>84844</v>
      </c>
      <c r="O32" s="218">
        <f t="shared" si="7"/>
        <v>0</v>
      </c>
      <c r="P32" s="188">
        <f t="shared" si="21"/>
        <v>0</v>
      </c>
      <c r="Q32" s="189">
        <f t="shared" si="21"/>
        <v>0</v>
      </c>
      <c r="R32" s="189">
        <f t="shared" si="21"/>
        <v>0</v>
      </c>
      <c r="S32" s="190">
        <f t="shared" si="21"/>
        <v>0</v>
      </c>
      <c r="T32" s="219">
        <f t="shared" si="2"/>
        <v>59000</v>
      </c>
      <c r="U32" s="192">
        <f t="shared" si="22"/>
        <v>16761</v>
      </c>
      <c r="V32" s="193">
        <f t="shared" si="22"/>
        <v>15061</v>
      </c>
      <c r="W32" s="193">
        <f t="shared" si="22"/>
        <v>14797</v>
      </c>
      <c r="X32" s="194">
        <f t="shared" si="22"/>
        <v>12381</v>
      </c>
      <c r="Y32" s="220">
        <f t="shared" si="4"/>
        <v>335837</v>
      </c>
      <c r="Z32" s="196">
        <f t="shared" si="23"/>
        <v>93363</v>
      </c>
      <c r="AA32" s="197">
        <f t="shared" si="23"/>
        <v>85393</v>
      </c>
      <c r="AB32" s="197">
        <f t="shared" si="23"/>
        <v>84618</v>
      </c>
      <c r="AC32" s="198">
        <f t="shared" si="23"/>
        <v>72463</v>
      </c>
    </row>
    <row r="33" spans="1:29" s="164" customFormat="1" hidden="1" x14ac:dyDescent="0.15">
      <c r="A33" s="1273"/>
      <c r="B33" s="1275"/>
      <c r="C33" s="1275"/>
      <c r="D33" s="1277" t="s">
        <v>79</v>
      </c>
      <c r="E33" s="1275"/>
      <c r="F33" s="1275"/>
      <c r="G33" s="1279" t="s">
        <v>80</v>
      </c>
      <c r="H33" s="1281" t="s">
        <v>81</v>
      </c>
      <c r="I33" s="221" t="s">
        <v>72</v>
      </c>
      <c r="J33" s="200">
        <f t="shared" si="6"/>
        <v>269339</v>
      </c>
      <c r="K33" s="201">
        <f t="shared" ref="K33:N34" si="24">K95</f>
        <v>269339</v>
      </c>
      <c r="L33" s="202">
        <f t="shared" si="24"/>
        <v>0</v>
      </c>
      <c r="M33" s="202">
        <f t="shared" si="24"/>
        <v>0</v>
      </c>
      <c r="N33" s="203">
        <f t="shared" si="24"/>
        <v>0</v>
      </c>
      <c r="O33" s="204">
        <f t="shared" si="7"/>
        <v>0</v>
      </c>
      <c r="P33" s="205">
        <f t="shared" ref="P33:S34" si="25">P95</f>
        <v>0</v>
      </c>
      <c r="Q33" s="206">
        <f t="shared" si="25"/>
        <v>0</v>
      </c>
      <c r="R33" s="206">
        <f t="shared" si="25"/>
        <v>0</v>
      </c>
      <c r="S33" s="207">
        <f t="shared" si="25"/>
        <v>0</v>
      </c>
      <c r="T33" s="208">
        <f t="shared" si="2"/>
        <v>194239</v>
      </c>
      <c r="U33" s="209">
        <f t="shared" ref="U33:X34" si="26">U95</f>
        <v>194239</v>
      </c>
      <c r="V33" s="210">
        <f t="shared" si="26"/>
        <v>0</v>
      </c>
      <c r="W33" s="210">
        <f t="shared" si="26"/>
        <v>0</v>
      </c>
      <c r="X33" s="211">
        <f t="shared" si="26"/>
        <v>0</v>
      </c>
      <c r="Y33" s="212">
        <f t="shared" si="4"/>
        <v>75100</v>
      </c>
      <c r="Z33" s="213">
        <f t="shared" ref="Z33:AC34" si="27">Z95</f>
        <v>75100</v>
      </c>
      <c r="AA33" s="214">
        <f t="shared" si="27"/>
        <v>0</v>
      </c>
      <c r="AB33" s="214">
        <f t="shared" si="27"/>
        <v>0</v>
      </c>
      <c r="AC33" s="215">
        <f t="shared" si="27"/>
        <v>0</v>
      </c>
    </row>
    <row r="34" spans="1:29" s="8" customFormat="1" hidden="1" x14ac:dyDescent="0.15">
      <c r="A34" s="1274"/>
      <c r="B34" s="1276"/>
      <c r="C34" s="1276"/>
      <c r="D34" s="1278"/>
      <c r="E34" s="1276"/>
      <c r="F34" s="1276"/>
      <c r="G34" s="1280"/>
      <c r="H34" s="1272"/>
      <c r="I34" s="216" t="s">
        <v>73</v>
      </c>
      <c r="J34" s="217">
        <f t="shared" si="6"/>
        <v>215924</v>
      </c>
      <c r="K34" s="184">
        <f t="shared" si="24"/>
        <v>76615</v>
      </c>
      <c r="L34" s="185">
        <f t="shared" si="24"/>
        <v>48423</v>
      </c>
      <c r="M34" s="185">
        <f t="shared" si="24"/>
        <v>45127</v>
      </c>
      <c r="N34" s="186">
        <f t="shared" si="24"/>
        <v>45759</v>
      </c>
      <c r="O34" s="218">
        <f t="shared" si="7"/>
        <v>0</v>
      </c>
      <c r="P34" s="188">
        <f t="shared" si="25"/>
        <v>0</v>
      </c>
      <c r="Q34" s="189">
        <f t="shared" si="25"/>
        <v>0</v>
      </c>
      <c r="R34" s="189">
        <f t="shared" si="25"/>
        <v>0</v>
      </c>
      <c r="S34" s="190">
        <f t="shared" si="25"/>
        <v>0</v>
      </c>
      <c r="T34" s="219">
        <f t="shared" si="2"/>
        <v>140824</v>
      </c>
      <c r="U34" s="192">
        <f t="shared" si="26"/>
        <v>48485</v>
      </c>
      <c r="V34" s="193">
        <f t="shared" si="26"/>
        <v>31015</v>
      </c>
      <c r="W34" s="193">
        <f t="shared" si="26"/>
        <v>30605</v>
      </c>
      <c r="X34" s="194">
        <f t="shared" si="26"/>
        <v>30719</v>
      </c>
      <c r="Y34" s="220">
        <f t="shared" si="4"/>
        <v>75100</v>
      </c>
      <c r="Z34" s="196">
        <f t="shared" si="27"/>
        <v>28130</v>
      </c>
      <c r="AA34" s="197">
        <f t="shared" si="27"/>
        <v>17408</v>
      </c>
      <c r="AB34" s="197">
        <f t="shared" si="27"/>
        <v>14522</v>
      </c>
      <c r="AC34" s="198">
        <f t="shared" si="27"/>
        <v>15040</v>
      </c>
    </row>
    <row r="35" spans="1:29" s="164" customFormat="1" ht="15" hidden="1" customHeight="1" x14ac:dyDescent="0.15">
      <c r="A35" s="1273"/>
      <c r="B35" s="1275"/>
      <c r="C35" s="1275"/>
      <c r="D35" s="1296" t="s">
        <v>82</v>
      </c>
      <c r="E35" s="1275"/>
      <c r="F35" s="1275"/>
      <c r="G35" s="1298" t="s">
        <v>83</v>
      </c>
      <c r="H35" s="1300" t="s">
        <v>84</v>
      </c>
      <c r="I35" s="221" t="s">
        <v>72</v>
      </c>
      <c r="J35" s="200">
        <f t="shared" si="6"/>
        <v>439439</v>
      </c>
      <c r="K35" s="201">
        <f>K153</f>
        <v>439439</v>
      </c>
      <c r="L35" s="202">
        <f t="shared" ref="L35:N36" si="28">L153</f>
        <v>0</v>
      </c>
      <c r="M35" s="202">
        <f t="shared" si="28"/>
        <v>0</v>
      </c>
      <c r="N35" s="203">
        <f t="shared" si="28"/>
        <v>0</v>
      </c>
      <c r="O35" s="204">
        <f t="shared" si="7"/>
        <v>0</v>
      </c>
      <c r="P35" s="205">
        <f>P153</f>
        <v>0</v>
      </c>
      <c r="Q35" s="206">
        <f t="shared" ref="Q35:S36" si="29">Q153</f>
        <v>0</v>
      </c>
      <c r="R35" s="206">
        <f t="shared" si="29"/>
        <v>0</v>
      </c>
      <c r="S35" s="207">
        <f t="shared" si="29"/>
        <v>0</v>
      </c>
      <c r="T35" s="208">
        <f t="shared" si="2"/>
        <v>439439</v>
      </c>
      <c r="U35" s="209">
        <f>U153</f>
        <v>439439</v>
      </c>
      <c r="V35" s="210">
        <f t="shared" ref="V35:X36" si="30">V153</f>
        <v>0</v>
      </c>
      <c r="W35" s="210">
        <f t="shared" si="30"/>
        <v>0</v>
      </c>
      <c r="X35" s="211">
        <f t="shared" si="30"/>
        <v>0</v>
      </c>
      <c r="Y35" s="212">
        <f t="shared" si="4"/>
        <v>0</v>
      </c>
      <c r="Z35" s="213">
        <f>Z153</f>
        <v>0</v>
      </c>
      <c r="AA35" s="214">
        <f t="shared" ref="AA35:AC36" si="31">AA153</f>
        <v>0</v>
      </c>
      <c r="AB35" s="214">
        <f t="shared" si="31"/>
        <v>0</v>
      </c>
      <c r="AC35" s="215">
        <f t="shared" si="31"/>
        <v>0</v>
      </c>
    </row>
    <row r="36" spans="1:29" s="8" customFormat="1" hidden="1" x14ac:dyDescent="0.15">
      <c r="A36" s="1274"/>
      <c r="B36" s="1276"/>
      <c r="C36" s="1276"/>
      <c r="D36" s="1297"/>
      <c r="E36" s="1276"/>
      <c r="F36" s="1276"/>
      <c r="G36" s="1299"/>
      <c r="H36" s="1301"/>
      <c r="I36" s="216" t="s">
        <v>73</v>
      </c>
      <c r="J36" s="217">
        <f t="shared" si="6"/>
        <v>351846</v>
      </c>
      <c r="K36" s="184">
        <f>K154</f>
        <v>116500</v>
      </c>
      <c r="L36" s="185">
        <f t="shared" si="28"/>
        <v>81500</v>
      </c>
      <c r="M36" s="185">
        <f t="shared" si="28"/>
        <v>64500</v>
      </c>
      <c r="N36" s="186">
        <f t="shared" si="28"/>
        <v>89346</v>
      </c>
      <c r="O36" s="218">
        <f t="shared" si="7"/>
        <v>0</v>
      </c>
      <c r="P36" s="188">
        <f>P154</f>
        <v>0</v>
      </c>
      <c r="Q36" s="189">
        <f t="shared" si="29"/>
        <v>0</v>
      </c>
      <c r="R36" s="189">
        <f t="shared" si="29"/>
        <v>0</v>
      </c>
      <c r="S36" s="190">
        <f t="shared" si="29"/>
        <v>0</v>
      </c>
      <c r="T36" s="219">
        <f t="shared" si="2"/>
        <v>351846</v>
      </c>
      <c r="U36" s="192">
        <f>U154</f>
        <v>116500</v>
      </c>
      <c r="V36" s="193">
        <f t="shared" si="30"/>
        <v>81500</v>
      </c>
      <c r="W36" s="193">
        <f t="shared" si="30"/>
        <v>64500</v>
      </c>
      <c r="X36" s="194">
        <f t="shared" si="30"/>
        <v>89346</v>
      </c>
      <c r="Y36" s="220">
        <f t="shared" si="4"/>
        <v>0</v>
      </c>
      <c r="Z36" s="196">
        <f>Z154</f>
        <v>0</v>
      </c>
      <c r="AA36" s="197">
        <f t="shared" si="31"/>
        <v>0</v>
      </c>
      <c r="AB36" s="197">
        <f t="shared" si="31"/>
        <v>0</v>
      </c>
      <c r="AC36" s="198">
        <f t="shared" si="31"/>
        <v>0</v>
      </c>
    </row>
    <row r="37" spans="1:29" s="164" customFormat="1" ht="20.25" hidden="1" customHeight="1" x14ac:dyDescent="0.15">
      <c r="A37" s="1273"/>
      <c r="B37" s="1275"/>
      <c r="C37" s="1275"/>
      <c r="D37" s="1292" t="s">
        <v>85</v>
      </c>
      <c r="E37" s="1275"/>
      <c r="F37" s="1275"/>
      <c r="G37" s="1279" t="s">
        <v>86</v>
      </c>
      <c r="H37" s="1281" t="s">
        <v>87</v>
      </c>
      <c r="I37" s="221" t="s">
        <v>72</v>
      </c>
      <c r="J37" s="200">
        <f t="shared" si="6"/>
        <v>1172746</v>
      </c>
      <c r="K37" s="201">
        <f t="shared" ref="K37:N38" si="32">K159</f>
        <v>1172746</v>
      </c>
      <c r="L37" s="202">
        <f t="shared" si="32"/>
        <v>0</v>
      </c>
      <c r="M37" s="202">
        <f t="shared" si="32"/>
        <v>0</v>
      </c>
      <c r="N37" s="203">
        <f t="shared" si="32"/>
        <v>0</v>
      </c>
      <c r="O37" s="204">
        <f t="shared" si="7"/>
        <v>1172689</v>
      </c>
      <c r="P37" s="205">
        <f t="shared" ref="P37:S38" si="33">P159</f>
        <v>1172689</v>
      </c>
      <c r="Q37" s="206">
        <f t="shared" si="33"/>
        <v>0</v>
      </c>
      <c r="R37" s="206">
        <f t="shared" si="33"/>
        <v>0</v>
      </c>
      <c r="S37" s="207">
        <f t="shared" si="33"/>
        <v>0</v>
      </c>
      <c r="T37" s="208">
        <f t="shared" si="2"/>
        <v>0</v>
      </c>
      <c r="U37" s="209">
        <f t="shared" ref="U37:X38" si="34">U159</f>
        <v>0</v>
      </c>
      <c r="V37" s="210">
        <f t="shared" si="34"/>
        <v>0</v>
      </c>
      <c r="W37" s="210">
        <f t="shared" si="34"/>
        <v>0</v>
      </c>
      <c r="X37" s="211">
        <f t="shared" si="34"/>
        <v>0</v>
      </c>
      <c r="Y37" s="212">
        <f t="shared" si="4"/>
        <v>57</v>
      </c>
      <c r="Z37" s="213">
        <f t="shared" ref="Z37:AC38" si="35">Z159</f>
        <v>57</v>
      </c>
      <c r="AA37" s="214">
        <f t="shared" si="35"/>
        <v>0</v>
      </c>
      <c r="AB37" s="214">
        <f t="shared" si="35"/>
        <v>0</v>
      </c>
      <c r="AC37" s="215">
        <f t="shared" si="35"/>
        <v>0</v>
      </c>
    </row>
    <row r="38" spans="1:29" s="8" customFormat="1" ht="20.25" hidden="1" customHeight="1" x14ac:dyDescent="0.15">
      <c r="A38" s="1274"/>
      <c r="B38" s="1276"/>
      <c r="C38" s="1276"/>
      <c r="D38" s="1293"/>
      <c r="E38" s="1276"/>
      <c r="F38" s="1276"/>
      <c r="G38" s="1280"/>
      <c r="H38" s="1272"/>
      <c r="I38" s="216" t="s">
        <v>73</v>
      </c>
      <c r="J38" s="217">
        <f t="shared" si="6"/>
        <v>61898</v>
      </c>
      <c r="K38" s="184">
        <f t="shared" si="32"/>
        <v>18401</v>
      </c>
      <c r="L38" s="185">
        <f t="shared" si="32"/>
        <v>15589</v>
      </c>
      <c r="M38" s="185">
        <f t="shared" si="32"/>
        <v>19661</v>
      </c>
      <c r="N38" s="186">
        <f t="shared" si="32"/>
        <v>8247</v>
      </c>
      <c r="O38" s="218">
        <f t="shared" si="7"/>
        <v>61800</v>
      </c>
      <c r="P38" s="188">
        <f t="shared" si="33"/>
        <v>18303</v>
      </c>
      <c r="Q38" s="189">
        <f t="shared" si="33"/>
        <v>15589</v>
      </c>
      <c r="R38" s="189">
        <f t="shared" si="33"/>
        <v>19661</v>
      </c>
      <c r="S38" s="190">
        <f t="shared" si="33"/>
        <v>8247</v>
      </c>
      <c r="T38" s="219">
        <f t="shared" si="2"/>
        <v>0</v>
      </c>
      <c r="U38" s="192">
        <f t="shared" si="34"/>
        <v>0</v>
      </c>
      <c r="V38" s="193">
        <f t="shared" si="34"/>
        <v>0</v>
      </c>
      <c r="W38" s="193">
        <f t="shared" si="34"/>
        <v>0</v>
      </c>
      <c r="X38" s="194">
        <f t="shared" si="34"/>
        <v>0</v>
      </c>
      <c r="Y38" s="220">
        <f t="shared" si="4"/>
        <v>98</v>
      </c>
      <c r="Z38" s="196">
        <f t="shared" si="35"/>
        <v>98</v>
      </c>
      <c r="AA38" s="197">
        <f t="shared" si="35"/>
        <v>0</v>
      </c>
      <c r="AB38" s="197">
        <f t="shared" si="35"/>
        <v>0</v>
      </c>
      <c r="AC38" s="198">
        <f t="shared" si="35"/>
        <v>0</v>
      </c>
    </row>
    <row r="39" spans="1:29" s="164" customFormat="1" ht="18" hidden="1" customHeight="1" x14ac:dyDescent="0.15">
      <c r="A39" s="1273"/>
      <c r="B39" s="1275"/>
      <c r="C39" s="1275"/>
      <c r="D39" s="1292" t="s">
        <v>88</v>
      </c>
      <c r="E39" s="1275"/>
      <c r="F39" s="1275"/>
      <c r="G39" s="1279" t="s">
        <v>89</v>
      </c>
      <c r="H39" s="1294" t="s">
        <v>90</v>
      </c>
      <c r="I39" s="221" t="s">
        <v>72</v>
      </c>
      <c r="J39" s="200">
        <f t="shared" si="6"/>
        <v>4300</v>
      </c>
      <c r="K39" s="201">
        <f>K177</f>
        <v>3800</v>
      </c>
      <c r="L39" s="202">
        <f t="shared" ref="L39:N40" si="36">L177</f>
        <v>0</v>
      </c>
      <c r="M39" s="202">
        <f t="shared" si="36"/>
        <v>500</v>
      </c>
      <c r="N39" s="203">
        <f t="shared" si="36"/>
        <v>0</v>
      </c>
      <c r="O39" s="204">
        <f t="shared" si="7"/>
        <v>0</v>
      </c>
      <c r="P39" s="205">
        <f>P177</f>
        <v>0</v>
      </c>
      <c r="Q39" s="206">
        <f t="shared" ref="Q39:S40" si="37">Q177</f>
        <v>0</v>
      </c>
      <c r="R39" s="206">
        <f t="shared" si="37"/>
        <v>0</v>
      </c>
      <c r="S39" s="207">
        <f t="shared" si="37"/>
        <v>0</v>
      </c>
      <c r="T39" s="208">
        <f t="shared" si="2"/>
        <v>700</v>
      </c>
      <c r="U39" s="209">
        <f>U177</f>
        <v>700</v>
      </c>
      <c r="V39" s="210">
        <f t="shared" ref="V39:X40" si="38">V177</f>
        <v>0</v>
      </c>
      <c r="W39" s="210">
        <f t="shared" si="38"/>
        <v>0</v>
      </c>
      <c r="X39" s="211">
        <f t="shared" si="38"/>
        <v>0</v>
      </c>
      <c r="Y39" s="212">
        <f t="shared" si="4"/>
        <v>3600</v>
      </c>
      <c r="Z39" s="213">
        <f>Z177</f>
        <v>3100</v>
      </c>
      <c r="AA39" s="214">
        <f t="shared" ref="AA39:AC40" si="39">AA177</f>
        <v>0</v>
      </c>
      <c r="AB39" s="214">
        <f t="shared" si="39"/>
        <v>500</v>
      </c>
      <c r="AC39" s="215">
        <f t="shared" si="39"/>
        <v>0</v>
      </c>
    </row>
    <row r="40" spans="1:29" s="8" customFormat="1" ht="18" hidden="1" customHeight="1" x14ac:dyDescent="0.15">
      <c r="A40" s="1274"/>
      <c r="B40" s="1276"/>
      <c r="C40" s="1276"/>
      <c r="D40" s="1293"/>
      <c r="E40" s="1276"/>
      <c r="F40" s="1276"/>
      <c r="G40" s="1280"/>
      <c r="H40" s="1295"/>
      <c r="I40" s="216" t="s">
        <v>73</v>
      </c>
      <c r="J40" s="217">
        <f t="shared" si="6"/>
        <v>4300</v>
      </c>
      <c r="K40" s="184">
        <f>K178</f>
        <v>1920</v>
      </c>
      <c r="L40" s="185">
        <f t="shared" si="36"/>
        <v>640</v>
      </c>
      <c r="M40" s="185">
        <f t="shared" si="36"/>
        <v>1130</v>
      </c>
      <c r="N40" s="186">
        <f t="shared" si="36"/>
        <v>610</v>
      </c>
      <c r="O40" s="218">
        <f t="shared" si="7"/>
        <v>0</v>
      </c>
      <c r="P40" s="188">
        <f>P178</f>
        <v>0</v>
      </c>
      <c r="Q40" s="189">
        <f t="shared" si="37"/>
        <v>0</v>
      </c>
      <c r="R40" s="189">
        <f t="shared" si="37"/>
        <v>0</v>
      </c>
      <c r="S40" s="190">
        <f t="shared" si="37"/>
        <v>0</v>
      </c>
      <c r="T40" s="219">
        <f t="shared" si="2"/>
        <v>700</v>
      </c>
      <c r="U40" s="192">
        <f>U178</f>
        <v>700</v>
      </c>
      <c r="V40" s="193">
        <f t="shared" si="38"/>
        <v>0</v>
      </c>
      <c r="W40" s="193">
        <f t="shared" si="38"/>
        <v>0</v>
      </c>
      <c r="X40" s="194">
        <f t="shared" si="38"/>
        <v>0</v>
      </c>
      <c r="Y40" s="220">
        <f t="shared" si="4"/>
        <v>3600</v>
      </c>
      <c r="Z40" s="196">
        <f>Z178</f>
        <v>1220</v>
      </c>
      <c r="AA40" s="197">
        <f t="shared" si="39"/>
        <v>640</v>
      </c>
      <c r="AB40" s="197">
        <f t="shared" si="39"/>
        <v>1130</v>
      </c>
      <c r="AC40" s="198">
        <f t="shared" si="39"/>
        <v>610</v>
      </c>
    </row>
    <row r="41" spans="1:29" s="164" customFormat="1" ht="18" hidden="1" customHeight="1" x14ac:dyDescent="0.15">
      <c r="A41" s="1273"/>
      <c r="B41" s="1275"/>
      <c r="C41" s="1275"/>
      <c r="D41" s="1277" t="s">
        <v>91</v>
      </c>
      <c r="E41" s="1275"/>
      <c r="F41" s="1275"/>
      <c r="G41" s="1305" t="s">
        <v>92</v>
      </c>
      <c r="H41" s="1281" t="s">
        <v>93</v>
      </c>
      <c r="I41" s="221" t="s">
        <v>72</v>
      </c>
      <c r="J41" s="200">
        <f t="shared" si="6"/>
        <v>14959</v>
      </c>
      <c r="K41" s="201">
        <f t="shared" ref="K41:N44" si="40">K185</f>
        <v>8380</v>
      </c>
      <c r="L41" s="202">
        <f t="shared" si="40"/>
        <v>0</v>
      </c>
      <c r="M41" s="202">
        <f t="shared" si="40"/>
        <v>4969</v>
      </c>
      <c r="N41" s="203">
        <f t="shared" si="40"/>
        <v>1610</v>
      </c>
      <c r="O41" s="204">
        <f t="shared" si="7"/>
        <v>0</v>
      </c>
      <c r="P41" s="205">
        <f t="shared" ref="P41:S44" si="41">P185</f>
        <v>0</v>
      </c>
      <c r="Q41" s="206">
        <f t="shared" si="41"/>
        <v>0</v>
      </c>
      <c r="R41" s="206">
        <f t="shared" si="41"/>
        <v>0</v>
      </c>
      <c r="S41" s="207">
        <f t="shared" si="41"/>
        <v>0</v>
      </c>
      <c r="T41" s="208">
        <f t="shared" si="2"/>
        <v>1416</v>
      </c>
      <c r="U41" s="209">
        <f t="shared" ref="U41:X44" si="42">U185</f>
        <v>1416</v>
      </c>
      <c r="V41" s="210">
        <f t="shared" si="42"/>
        <v>0</v>
      </c>
      <c r="W41" s="210">
        <f t="shared" si="42"/>
        <v>0</v>
      </c>
      <c r="X41" s="211">
        <f t="shared" si="42"/>
        <v>0</v>
      </c>
      <c r="Y41" s="212">
        <f t="shared" si="4"/>
        <v>13543</v>
      </c>
      <c r="Z41" s="213">
        <f t="shared" ref="Z41:AC44" si="43">Z185</f>
        <v>6964</v>
      </c>
      <c r="AA41" s="214">
        <f t="shared" si="43"/>
        <v>0</v>
      </c>
      <c r="AB41" s="214">
        <f t="shared" si="43"/>
        <v>4969</v>
      </c>
      <c r="AC41" s="215">
        <f t="shared" si="43"/>
        <v>1610</v>
      </c>
    </row>
    <row r="42" spans="1:29" s="8" customFormat="1" hidden="1" x14ac:dyDescent="0.15">
      <c r="A42" s="1274"/>
      <c r="B42" s="1276"/>
      <c r="C42" s="1276"/>
      <c r="D42" s="1278"/>
      <c r="E42" s="1276"/>
      <c r="F42" s="1276"/>
      <c r="G42" s="1270"/>
      <c r="H42" s="1272"/>
      <c r="I42" s="216" t="s">
        <v>73</v>
      </c>
      <c r="J42" s="217">
        <f t="shared" si="6"/>
        <v>19972</v>
      </c>
      <c r="K42" s="184">
        <f t="shared" si="40"/>
        <v>6682</v>
      </c>
      <c r="L42" s="185">
        <f t="shared" si="40"/>
        <v>4494</v>
      </c>
      <c r="M42" s="185">
        <f t="shared" si="40"/>
        <v>7420</v>
      </c>
      <c r="N42" s="186">
        <f t="shared" si="40"/>
        <v>1376</v>
      </c>
      <c r="O42" s="218">
        <f t="shared" si="7"/>
        <v>0</v>
      </c>
      <c r="P42" s="188">
        <f t="shared" si="41"/>
        <v>0</v>
      </c>
      <c r="Q42" s="189">
        <f t="shared" si="41"/>
        <v>0</v>
      </c>
      <c r="R42" s="189">
        <f t="shared" si="41"/>
        <v>0</v>
      </c>
      <c r="S42" s="190">
        <f t="shared" si="41"/>
        <v>0</v>
      </c>
      <c r="T42" s="219">
        <f t="shared" si="2"/>
        <v>1416</v>
      </c>
      <c r="U42" s="192">
        <f t="shared" si="42"/>
        <v>152</v>
      </c>
      <c r="V42" s="193">
        <f t="shared" si="42"/>
        <v>1264</v>
      </c>
      <c r="W42" s="193">
        <f t="shared" si="42"/>
        <v>0</v>
      </c>
      <c r="X42" s="194">
        <f t="shared" si="42"/>
        <v>0</v>
      </c>
      <c r="Y42" s="220">
        <f t="shared" si="4"/>
        <v>18556</v>
      </c>
      <c r="Z42" s="196">
        <f t="shared" si="43"/>
        <v>6530</v>
      </c>
      <c r="AA42" s="197">
        <f t="shared" si="43"/>
        <v>3230</v>
      </c>
      <c r="AB42" s="197">
        <f t="shared" si="43"/>
        <v>7420</v>
      </c>
      <c r="AC42" s="198">
        <f t="shared" si="43"/>
        <v>1376</v>
      </c>
    </row>
    <row r="43" spans="1:29" s="164" customFormat="1" hidden="1" x14ac:dyDescent="0.15">
      <c r="A43" s="1273"/>
      <c r="B43" s="1275"/>
      <c r="C43" s="1275"/>
      <c r="D43" s="1277" t="s">
        <v>94</v>
      </c>
      <c r="E43" s="1275"/>
      <c r="F43" s="1275"/>
      <c r="G43" s="1279" t="s">
        <v>95</v>
      </c>
      <c r="H43" s="1281" t="s">
        <v>96</v>
      </c>
      <c r="I43" s="221" t="s">
        <v>72</v>
      </c>
      <c r="J43" s="222">
        <f t="shared" si="6"/>
        <v>14959</v>
      </c>
      <c r="K43" s="223">
        <f t="shared" si="40"/>
        <v>8380</v>
      </c>
      <c r="L43" s="224">
        <f t="shared" si="40"/>
        <v>0</v>
      </c>
      <c r="M43" s="224">
        <f t="shared" si="40"/>
        <v>4969</v>
      </c>
      <c r="N43" s="225">
        <f t="shared" si="40"/>
        <v>1610</v>
      </c>
      <c r="O43" s="226">
        <f t="shared" si="7"/>
        <v>0</v>
      </c>
      <c r="P43" s="227">
        <f t="shared" si="41"/>
        <v>0</v>
      </c>
      <c r="Q43" s="228">
        <f t="shared" si="41"/>
        <v>0</v>
      </c>
      <c r="R43" s="228">
        <f t="shared" si="41"/>
        <v>0</v>
      </c>
      <c r="S43" s="229">
        <f t="shared" si="41"/>
        <v>0</v>
      </c>
      <c r="T43" s="230">
        <f t="shared" si="2"/>
        <v>1416</v>
      </c>
      <c r="U43" s="231">
        <f t="shared" si="42"/>
        <v>1416</v>
      </c>
      <c r="V43" s="232">
        <f t="shared" si="42"/>
        <v>0</v>
      </c>
      <c r="W43" s="232">
        <f t="shared" si="42"/>
        <v>0</v>
      </c>
      <c r="X43" s="233">
        <f t="shared" si="42"/>
        <v>0</v>
      </c>
      <c r="Y43" s="234">
        <f t="shared" si="4"/>
        <v>13543</v>
      </c>
      <c r="Z43" s="235">
        <f t="shared" si="43"/>
        <v>6964</v>
      </c>
      <c r="AA43" s="236">
        <f t="shared" si="43"/>
        <v>0</v>
      </c>
      <c r="AB43" s="236">
        <f t="shared" si="43"/>
        <v>4969</v>
      </c>
      <c r="AC43" s="237">
        <f t="shared" si="43"/>
        <v>1610</v>
      </c>
    </row>
    <row r="44" spans="1:29" s="253" customFormat="1" ht="16" hidden="1" thickBot="1" x14ac:dyDescent="0.25">
      <c r="A44" s="1306"/>
      <c r="B44" s="1307"/>
      <c r="C44" s="1307"/>
      <c r="D44" s="1304"/>
      <c r="E44" s="1307"/>
      <c r="F44" s="1307"/>
      <c r="G44" s="1290"/>
      <c r="H44" s="1291"/>
      <c r="I44" s="182" t="s">
        <v>73</v>
      </c>
      <c r="J44" s="238">
        <f t="shared" si="6"/>
        <v>19972</v>
      </c>
      <c r="K44" s="239">
        <f t="shared" si="40"/>
        <v>6682</v>
      </c>
      <c r="L44" s="240">
        <f t="shared" si="40"/>
        <v>4494</v>
      </c>
      <c r="M44" s="240">
        <f t="shared" si="40"/>
        <v>7420</v>
      </c>
      <c r="N44" s="241">
        <f t="shared" si="40"/>
        <v>1376</v>
      </c>
      <c r="O44" s="242">
        <f t="shared" si="7"/>
        <v>0</v>
      </c>
      <c r="P44" s="243">
        <f t="shared" si="41"/>
        <v>0</v>
      </c>
      <c r="Q44" s="244">
        <f t="shared" si="41"/>
        <v>0</v>
      </c>
      <c r="R44" s="244">
        <f t="shared" si="41"/>
        <v>0</v>
      </c>
      <c r="S44" s="245">
        <f t="shared" si="41"/>
        <v>0</v>
      </c>
      <c r="T44" s="174">
        <f t="shared" si="2"/>
        <v>1416</v>
      </c>
      <c r="U44" s="246">
        <f t="shared" si="42"/>
        <v>152</v>
      </c>
      <c r="V44" s="247">
        <f t="shared" si="42"/>
        <v>1264</v>
      </c>
      <c r="W44" s="247">
        <f t="shared" si="42"/>
        <v>0</v>
      </c>
      <c r="X44" s="248">
        <f t="shared" si="42"/>
        <v>0</v>
      </c>
      <c r="Y44" s="249">
        <f t="shared" si="4"/>
        <v>18556</v>
      </c>
      <c r="Z44" s="250">
        <f t="shared" si="43"/>
        <v>6530</v>
      </c>
      <c r="AA44" s="251">
        <f t="shared" si="43"/>
        <v>3230</v>
      </c>
      <c r="AB44" s="251">
        <f t="shared" si="43"/>
        <v>7420</v>
      </c>
      <c r="AC44" s="252">
        <f t="shared" si="43"/>
        <v>1376</v>
      </c>
    </row>
    <row r="45" spans="1:29" s="254" customFormat="1" hidden="1" x14ac:dyDescent="0.2">
      <c r="A45" s="1302" t="s">
        <v>97</v>
      </c>
      <c r="B45" s="1284" t="s">
        <v>74</v>
      </c>
      <c r="C45" s="1284" t="s">
        <v>66</v>
      </c>
      <c r="D45" s="1287"/>
      <c r="E45" s="1287"/>
      <c r="F45" s="1287"/>
      <c r="G45" s="1289" t="s">
        <v>98</v>
      </c>
      <c r="H45" s="1271" t="s">
        <v>99</v>
      </c>
      <c r="I45" s="147" t="s">
        <v>72</v>
      </c>
      <c r="J45" s="148">
        <f t="shared" si="6"/>
        <v>2295620</v>
      </c>
      <c r="K45" s="149">
        <f t="shared" ref="K45:N46" si="44">K47+K185</f>
        <v>2288541</v>
      </c>
      <c r="L45" s="150">
        <f t="shared" si="44"/>
        <v>0</v>
      </c>
      <c r="M45" s="150">
        <f t="shared" si="44"/>
        <v>5469</v>
      </c>
      <c r="N45" s="151">
        <f t="shared" si="44"/>
        <v>1610</v>
      </c>
      <c r="O45" s="152">
        <f t="shared" si="7"/>
        <v>1172689</v>
      </c>
      <c r="P45" s="153">
        <f t="shared" ref="P45:S46" si="45">P47+P185</f>
        <v>1172689</v>
      </c>
      <c r="Q45" s="154">
        <f t="shared" si="45"/>
        <v>0</v>
      </c>
      <c r="R45" s="154">
        <f t="shared" si="45"/>
        <v>0</v>
      </c>
      <c r="S45" s="155">
        <f t="shared" si="45"/>
        <v>0</v>
      </c>
      <c r="T45" s="156">
        <f t="shared" si="2"/>
        <v>694794</v>
      </c>
      <c r="U45" s="157">
        <f t="shared" ref="U45:X46" si="46">U47+U185</f>
        <v>694794</v>
      </c>
      <c r="V45" s="158">
        <f t="shared" si="46"/>
        <v>0</v>
      </c>
      <c r="W45" s="158">
        <f t="shared" si="46"/>
        <v>0</v>
      </c>
      <c r="X45" s="159">
        <f t="shared" si="46"/>
        <v>0</v>
      </c>
      <c r="Y45" s="160">
        <f t="shared" si="4"/>
        <v>428137</v>
      </c>
      <c r="Z45" s="161">
        <f t="shared" ref="Z45:AC46" si="47">Z47+Z185</f>
        <v>421058</v>
      </c>
      <c r="AA45" s="162">
        <f t="shared" si="47"/>
        <v>0</v>
      </c>
      <c r="AB45" s="162">
        <f t="shared" si="47"/>
        <v>5469</v>
      </c>
      <c r="AC45" s="163">
        <f t="shared" si="47"/>
        <v>1610</v>
      </c>
    </row>
    <row r="46" spans="1:29" s="253" customFormat="1" ht="16" hidden="1" thickBot="1" x14ac:dyDescent="0.25">
      <c r="A46" s="1303"/>
      <c r="B46" s="1304"/>
      <c r="C46" s="1304"/>
      <c r="D46" s="1288"/>
      <c r="E46" s="1288"/>
      <c r="F46" s="1288"/>
      <c r="G46" s="1290"/>
      <c r="H46" s="1291"/>
      <c r="I46" s="165" t="s">
        <v>73</v>
      </c>
      <c r="J46" s="166">
        <f t="shared" si="6"/>
        <v>1048777</v>
      </c>
      <c r="K46" s="167">
        <f t="shared" si="44"/>
        <v>330242</v>
      </c>
      <c r="L46" s="168">
        <f t="shared" si="44"/>
        <v>251100</v>
      </c>
      <c r="M46" s="168">
        <f t="shared" si="44"/>
        <v>237253</v>
      </c>
      <c r="N46" s="169">
        <f t="shared" si="44"/>
        <v>230182</v>
      </c>
      <c r="O46" s="170">
        <f t="shared" si="7"/>
        <v>61800</v>
      </c>
      <c r="P46" s="171">
        <f t="shared" si="45"/>
        <v>18303</v>
      </c>
      <c r="Q46" s="172">
        <f t="shared" si="45"/>
        <v>15589</v>
      </c>
      <c r="R46" s="172">
        <f t="shared" si="45"/>
        <v>19661</v>
      </c>
      <c r="S46" s="173">
        <f t="shared" si="45"/>
        <v>8247</v>
      </c>
      <c r="T46" s="174">
        <f t="shared" si="2"/>
        <v>553786</v>
      </c>
      <c r="U46" s="175">
        <f t="shared" si="46"/>
        <v>182598</v>
      </c>
      <c r="V46" s="176">
        <f t="shared" si="46"/>
        <v>128840</v>
      </c>
      <c r="W46" s="176">
        <f t="shared" si="46"/>
        <v>109902</v>
      </c>
      <c r="X46" s="177">
        <f t="shared" si="46"/>
        <v>132446</v>
      </c>
      <c r="Y46" s="178">
        <f t="shared" si="4"/>
        <v>433191</v>
      </c>
      <c r="Z46" s="179">
        <f t="shared" si="47"/>
        <v>129341</v>
      </c>
      <c r="AA46" s="180">
        <f t="shared" si="47"/>
        <v>106671</v>
      </c>
      <c r="AB46" s="180">
        <f t="shared" si="47"/>
        <v>107690</v>
      </c>
      <c r="AC46" s="181">
        <f t="shared" si="47"/>
        <v>89489</v>
      </c>
    </row>
    <row r="47" spans="1:29" s="254" customFormat="1" hidden="1" x14ac:dyDescent="0.2">
      <c r="A47" s="1282"/>
      <c r="B47" s="1283"/>
      <c r="C47" s="1283"/>
      <c r="D47" s="1284" t="s">
        <v>74</v>
      </c>
      <c r="E47" s="1283"/>
      <c r="F47" s="1283"/>
      <c r="G47" s="1269" t="s">
        <v>75</v>
      </c>
      <c r="H47" s="1271" t="s">
        <v>74</v>
      </c>
      <c r="I47" s="221" t="s">
        <v>72</v>
      </c>
      <c r="J47" s="148">
        <f t="shared" si="6"/>
        <v>2280661</v>
      </c>
      <c r="K47" s="149">
        <f t="shared" ref="K47:N48" si="48">K49+K95+K153+K159+K177</f>
        <v>2280161</v>
      </c>
      <c r="L47" s="150">
        <f t="shared" si="48"/>
        <v>0</v>
      </c>
      <c r="M47" s="150">
        <f t="shared" si="48"/>
        <v>500</v>
      </c>
      <c r="N47" s="151">
        <f t="shared" si="48"/>
        <v>0</v>
      </c>
      <c r="O47" s="152">
        <f t="shared" si="7"/>
        <v>1172689</v>
      </c>
      <c r="P47" s="153">
        <f t="shared" ref="P47:S48" si="49">P49+P95+P153+P159+P177</f>
        <v>1172689</v>
      </c>
      <c r="Q47" s="154">
        <f t="shared" si="49"/>
        <v>0</v>
      </c>
      <c r="R47" s="154">
        <f t="shared" si="49"/>
        <v>0</v>
      </c>
      <c r="S47" s="155">
        <f t="shared" si="49"/>
        <v>0</v>
      </c>
      <c r="T47" s="156">
        <f t="shared" si="2"/>
        <v>693378</v>
      </c>
      <c r="U47" s="157">
        <f t="shared" ref="U47:X48" si="50">U49+U95+U153+U159+U177</f>
        <v>693378</v>
      </c>
      <c r="V47" s="158">
        <f t="shared" si="50"/>
        <v>0</v>
      </c>
      <c r="W47" s="158">
        <f t="shared" si="50"/>
        <v>0</v>
      </c>
      <c r="X47" s="159">
        <f t="shared" si="50"/>
        <v>0</v>
      </c>
      <c r="Y47" s="160">
        <f t="shared" si="4"/>
        <v>414594</v>
      </c>
      <c r="Z47" s="161">
        <f t="shared" ref="Z47:AC48" si="51">Z49+Z95+Z153+Z159+Z177</f>
        <v>414094</v>
      </c>
      <c r="AA47" s="162">
        <f t="shared" si="51"/>
        <v>0</v>
      </c>
      <c r="AB47" s="162">
        <f t="shared" si="51"/>
        <v>500</v>
      </c>
      <c r="AC47" s="163">
        <f t="shared" si="51"/>
        <v>0</v>
      </c>
    </row>
    <row r="48" spans="1:29" s="253" customFormat="1" hidden="1" x14ac:dyDescent="0.2">
      <c r="A48" s="1274"/>
      <c r="B48" s="1276"/>
      <c r="C48" s="1276"/>
      <c r="D48" s="1278"/>
      <c r="E48" s="1276"/>
      <c r="F48" s="1276"/>
      <c r="G48" s="1270"/>
      <c r="H48" s="1272"/>
      <c r="I48" s="216" t="s">
        <v>73</v>
      </c>
      <c r="J48" s="183">
        <f t="shared" si="6"/>
        <v>1028805</v>
      </c>
      <c r="K48" s="184">
        <f t="shared" si="48"/>
        <v>323560</v>
      </c>
      <c r="L48" s="185">
        <f t="shared" si="48"/>
        <v>246606</v>
      </c>
      <c r="M48" s="185">
        <f t="shared" si="48"/>
        <v>229833</v>
      </c>
      <c r="N48" s="186">
        <f t="shared" si="48"/>
        <v>228806</v>
      </c>
      <c r="O48" s="187">
        <f t="shared" si="7"/>
        <v>61800</v>
      </c>
      <c r="P48" s="188">
        <f t="shared" si="49"/>
        <v>18303</v>
      </c>
      <c r="Q48" s="189">
        <f t="shared" si="49"/>
        <v>15589</v>
      </c>
      <c r="R48" s="189">
        <f t="shared" si="49"/>
        <v>19661</v>
      </c>
      <c r="S48" s="190">
        <f t="shared" si="49"/>
        <v>8247</v>
      </c>
      <c r="T48" s="191">
        <f t="shared" si="2"/>
        <v>552370</v>
      </c>
      <c r="U48" s="192">
        <f t="shared" si="50"/>
        <v>182446</v>
      </c>
      <c r="V48" s="193">
        <f t="shared" si="50"/>
        <v>127576</v>
      </c>
      <c r="W48" s="193">
        <f t="shared" si="50"/>
        <v>109902</v>
      </c>
      <c r="X48" s="194">
        <f t="shared" si="50"/>
        <v>132446</v>
      </c>
      <c r="Y48" s="195">
        <f t="shared" si="4"/>
        <v>414635</v>
      </c>
      <c r="Z48" s="196">
        <f t="shared" si="51"/>
        <v>122811</v>
      </c>
      <c r="AA48" s="197">
        <f t="shared" si="51"/>
        <v>103441</v>
      </c>
      <c r="AB48" s="197">
        <f t="shared" si="51"/>
        <v>100270</v>
      </c>
      <c r="AC48" s="198">
        <f t="shared" si="51"/>
        <v>88113</v>
      </c>
    </row>
    <row r="49" spans="1:29" s="254" customFormat="1" hidden="1" x14ac:dyDescent="0.2">
      <c r="A49" s="1312"/>
      <c r="B49" s="1275"/>
      <c r="C49" s="1275"/>
      <c r="D49" s="1277" t="s">
        <v>33</v>
      </c>
      <c r="E49" s="1275"/>
      <c r="F49" s="1275"/>
      <c r="G49" s="1279" t="s">
        <v>77</v>
      </c>
      <c r="H49" s="1316" t="s">
        <v>33</v>
      </c>
      <c r="I49" s="221" t="s">
        <v>72</v>
      </c>
      <c r="J49" s="200">
        <f t="shared" si="6"/>
        <v>394837</v>
      </c>
      <c r="K49" s="255">
        <f t="shared" ref="K49:N50" si="52">K51+K75+K81</f>
        <v>394837</v>
      </c>
      <c r="L49" s="256">
        <f t="shared" si="52"/>
        <v>0</v>
      </c>
      <c r="M49" s="256">
        <f t="shared" si="52"/>
        <v>0</v>
      </c>
      <c r="N49" s="257">
        <f t="shared" si="52"/>
        <v>0</v>
      </c>
      <c r="O49" s="204">
        <f t="shared" si="7"/>
        <v>0</v>
      </c>
      <c r="P49" s="258">
        <f t="shared" ref="P49:S50" si="53">P51+P75+P81</f>
        <v>0</v>
      </c>
      <c r="Q49" s="259">
        <f t="shared" si="53"/>
        <v>0</v>
      </c>
      <c r="R49" s="259">
        <f t="shared" si="53"/>
        <v>0</v>
      </c>
      <c r="S49" s="260">
        <f t="shared" si="53"/>
        <v>0</v>
      </c>
      <c r="T49" s="208">
        <f t="shared" si="2"/>
        <v>59000</v>
      </c>
      <c r="U49" s="261">
        <f t="shared" ref="U49:X50" si="54">U51+U75+U81</f>
        <v>59000</v>
      </c>
      <c r="V49" s="262">
        <f t="shared" si="54"/>
        <v>0</v>
      </c>
      <c r="W49" s="262">
        <f t="shared" si="54"/>
        <v>0</v>
      </c>
      <c r="X49" s="263">
        <f t="shared" si="54"/>
        <v>0</v>
      </c>
      <c r="Y49" s="212">
        <f t="shared" si="4"/>
        <v>335837</v>
      </c>
      <c r="Z49" s="264">
        <f t="shared" ref="Z49:AC50" si="55">Z51+Z75+Z81</f>
        <v>335837</v>
      </c>
      <c r="AA49" s="265">
        <f t="shared" si="55"/>
        <v>0</v>
      </c>
      <c r="AB49" s="265">
        <f t="shared" si="55"/>
        <v>0</v>
      </c>
      <c r="AC49" s="266">
        <f t="shared" si="55"/>
        <v>0</v>
      </c>
    </row>
    <row r="50" spans="1:29" s="253" customFormat="1" hidden="1" x14ac:dyDescent="0.2">
      <c r="A50" s="1313"/>
      <c r="B50" s="1276"/>
      <c r="C50" s="1276"/>
      <c r="D50" s="1278"/>
      <c r="E50" s="1276"/>
      <c r="F50" s="1276"/>
      <c r="G50" s="1280"/>
      <c r="H50" s="1317"/>
      <c r="I50" s="216" t="s">
        <v>73</v>
      </c>
      <c r="J50" s="217">
        <f t="shared" si="6"/>
        <v>394837</v>
      </c>
      <c r="K50" s="267">
        <f t="shared" si="52"/>
        <v>110124</v>
      </c>
      <c r="L50" s="268">
        <f t="shared" si="52"/>
        <v>100454</v>
      </c>
      <c r="M50" s="268">
        <f t="shared" si="52"/>
        <v>99415</v>
      </c>
      <c r="N50" s="269">
        <f t="shared" si="52"/>
        <v>84844</v>
      </c>
      <c r="O50" s="218">
        <f t="shared" si="7"/>
        <v>0</v>
      </c>
      <c r="P50" s="270">
        <f t="shared" si="53"/>
        <v>0</v>
      </c>
      <c r="Q50" s="271">
        <f t="shared" si="53"/>
        <v>0</v>
      </c>
      <c r="R50" s="271">
        <f t="shared" si="53"/>
        <v>0</v>
      </c>
      <c r="S50" s="272">
        <f t="shared" si="53"/>
        <v>0</v>
      </c>
      <c r="T50" s="219">
        <f t="shared" si="2"/>
        <v>59000</v>
      </c>
      <c r="U50" s="273">
        <f t="shared" si="54"/>
        <v>16761</v>
      </c>
      <c r="V50" s="274">
        <f t="shared" si="54"/>
        <v>15061</v>
      </c>
      <c r="W50" s="274">
        <f t="shared" si="54"/>
        <v>14797</v>
      </c>
      <c r="X50" s="275">
        <f t="shared" si="54"/>
        <v>12381</v>
      </c>
      <c r="Y50" s="220">
        <f t="shared" si="4"/>
        <v>335837</v>
      </c>
      <c r="Z50" s="276">
        <f t="shared" si="55"/>
        <v>93363</v>
      </c>
      <c r="AA50" s="277">
        <f t="shared" si="55"/>
        <v>85393</v>
      </c>
      <c r="AB50" s="277">
        <f t="shared" si="55"/>
        <v>84618</v>
      </c>
      <c r="AC50" s="278">
        <f t="shared" si="55"/>
        <v>72463</v>
      </c>
    </row>
    <row r="51" spans="1:29" s="254" customFormat="1" hidden="1" x14ac:dyDescent="0.2">
      <c r="A51" s="1312"/>
      <c r="B51" s="1275"/>
      <c r="C51" s="1275"/>
      <c r="D51" s="1275"/>
      <c r="E51" s="1277" t="s">
        <v>74</v>
      </c>
      <c r="F51" s="1275"/>
      <c r="G51" s="1318" t="s">
        <v>100</v>
      </c>
      <c r="H51" s="1316" t="s">
        <v>101</v>
      </c>
      <c r="I51" s="221" t="s">
        <v>72</v>
      </c>
      <c r="J51" s="200">
        <f>K51+L51+M51+N51</f>
        <v>355014</v>
      </c>
      <c r="K51" s="255">
        <f>K53+K55+K57+K59+K61+K63+K65+K67+K69+K71+K73</f>
        <v>355014</v>
      </c>
      <c r="L51" s="256">
        <f t="shared" ref="L51:N52" si="56">L53+L55+L57+L59+L61+L63+L65+L67+L69+L71+L73</f>
        <v>0</v>
      </c>
      <c r="M51" s="256">
        <f t="shared" si="56"/>
        <v>0</v>
      </c>
      <c r="N51" s="257">
        <f t="shared" si="56"/>
        <v>0</v>
      </c>
      <c r="O51" s="204">
        <f>P51+Q51+R51+S51</f>
        <v>0</v>
      </c>
      <c r="P51" s="258">
        <f>P53+P55+P57+P59+P61+P63+P65+P67+P69+P71+P73</f>
        <v>0</v>
      </c>
      <c r="Q51" s="259">
        <f t="shared" ref="Q51:S52" si="57">Q53+Q55+Q57+Q59+Q61+Q63+Q65+Q67+Q69+Q71+Q73</f>
        <v>0</v>
      </c>
      <c r="R51" s="259">
        <f t="shared" si="57"/>
        <v>0</v>
      </c>
      <c r="S51" s="260">
        <f t="shared" si="57"/>
        <v>0</v>
      </c>
      <c r="T51" s="208">
        <f>U51+V51+W51+X51</f>
        <v>52504</v>
      </c>
      <c r="U51" s="261">
        <f>U53+U55+U57+U59+U61+U63+U65+U67+U69+U71+U73</f>
        <v>52504</v>
      </c>
      <c r="V51" s="262">
        <f t="shared" ref="V51:X52" si="58">V53+V55+V57+V59+V61+V63+V65+V67+V69+V71+V73</f>
        <v>0</v>
      </c>
      <c r="W51" s="262">
        <f t="shared" si="58"/>
        <v>0</v>
      </c>
      <c r="X51" s="263">
        <f t="shared" si="58"/>
        <v>0</v>
      </c>
      <c r="Y51" s="212">
        <f>Z51+AA51+AB51+AC51</f>
        <v>302510</v>
      </c>
      <c r="Z51" s="264">
        <f>Z53+Z55+Z57+Z59+Z61+Z63+Z65+Z67+Z69+Z71+Z73</f>
        <v>302510</v>
      </c>
      <c r="AA51" s="265">
        <f t="shared" ref="AA51:AC52" si="59">AA53+AA55+AA57+AA59+AA61+AA63+AA65+AA67+AA69+AA71+AA73</f>
        <v>0</v>
      </c>
      <c r="AB51" s="265">
        <f t="shared" si="59"/>
        <v>0</v>
      </c>
      <c r="AC51" s="266">
        <f t="shared" si="59"/>
        <v>0</v>
      </c>
    </row>
    <row r="52" spans="1:29" s="253" customFormat="1" hidden="1" x14ac:dyDescent="0.2">
      <c r="A52" s="1313"/>
      <c r="B52" s="1276"/>
      <c r="C52" s="1276"/>
      <c r="D52" s="1276"/>
      <c r="E52" s="1278"/>
      <c r="F52" s="1276"/>
      <c r="G52" s="1319"/>
      <c r="H52" s="1317"/>
      <c r="I52" s="216" t="s">
        <v>73</v>
      </c>
      <c r="J52" s="217">
        <f>K52+L52+M52+N52</f>
        <v>355014</v>
      </c>
      <c r="K52" s="267">
        <f>K54+K56+K58+K60+K62+K64+K66+K68+K70+K72+K74</f>
        <v>95020</v>
      </c>
      <c r="L52" s="268">
        <f t="shared" si="56"/>
        <v>91860</v>
      </c>
      <c r="M52" s="268">
        <f t="shared" si="56"/>
        <v>90901</v>
      </c>
      <c r="N52" s="269">
        <f t="shared" si="56"/>
        <v>77233</v>
      </c>
      <c r="O52" s="218">
        <f>P52+Q52+R52+S52</f>
        <v>0</v>
      </c>
      <c r="P52" s="270">
        <f>P54+P56+P58+P60+P62+P64+P66+P68+P70+P72+P74</f>
        <v>0</v>
      </c>
      <c r="Q52" s="271">
        <f t="shared" si="57"/>
        <v>0</v>
      </c>
      <c r="R52" s="271">
        <f t="shared" si="57"/>
        <v>0</v>
      </c>
      <c r="S52" s="272">
        <f t="shared" si="57"/>
        <v>0</v>
      </c>
      <c r="T52" s="219">
        <f>U52+V52+W52+X52</f>
        <v>52504</v>
      </c>
      <c r="U52" s="273">
        <f>U54+U56+U58+U60+U62+U64+U66+U68+U70+U72+U74</f>
        <v>14247</v>
      </c>
      <c r="V52" s="274">
        <f t="shared" si="58"/>
        <v>13647</v>
      </c>
      <c r="W52" s="274">
        <f t="shared" si="58"/>
        <v>13413</v>
      </c>
      <c r="X52" s="275">
        <f t="shared" si="58"/>
        <v>11197</v>
      </c>
      <c r="Y52" s="220">
        <f>Z52+AA52+AB52+AC52</f>
        <v>302510</v>
      </c>
      <c r="Z52" s="276">
        <f>Z54+Z56+Z58+Z60+Z62+Z64+Z66+Z68+Z70+Z72+Z74</f>
        <v>80773</v>
      </c>
      <c r="AA52" s="277">
        <f t="shared" si="59"/>
        <v>78213</v>
      </c>
      <c r="AB52" s="277">
        <f t="shared" si="59"/>
        <v>77488</v>
      </c>
      <c r="AC52" s="278">
        <f t="shared" si="59"/>
        <v>66036</v>
      </c>
    </row>
    <row r="53" spans="1:29" s="254" customFormat="1" hidden="1" x14ac:dyDescent="0.2">
      <c r="A53" s="1312"/>
      <c r="B53" s="1275"/>
      <c r="C53" s="1275"/>
      <c r="D53" s="1275"/>
      <c r="E53" s="1275"/>
      <c r="F53" s="1314" t="s">
        <v>74</v>
      </c>
      <c r="G53" s="1308" t="s">
        <v>102</v>
      </c>
      <c r="H53" s="1310" t="s">
        <v>103</v>
      </c>
      <c r="I53" s="279" t="s">
        <v>72</v>
      </c>
      <c r="J53" s="280">
        <f t="shared" ref="J53:N68" si="60">O53+T53+Y53</f>
        <v>320394</v>
      </c>
      <c r="K53" s="281">
        <f t="shared" si="60"/>
        <v>320394</v>
      </c>
      <c r="L53" s="282">
        <f t="shared" si="60"/>
        <v>0</v>
      </c>
      <c r="M53" s="282">
        <f t="shared" si="60"/>
        <v>0</v>
      </c>
      <c r="N53" s="283">
        <f t="shared" si="60"/>
        <v>0</v>
      </c>
      <c r="O53" s="284">
        <f t="shared" ref="O53:O80" si="61">P53+Q53+R53+S53</f>
        <v>0</v>
      </c>
      <c r="P53" s="281"/>
      <c r="Q53" s="282"/>
      <c r="R53" s="282"/>
      <c r="S53" s="285"/>
      <c r="T53" s="286">
        <f t="shared" ref="T53:T118" si="62">U53+V53+W53+X53</f>
        <v>47194</v>
      </c>
      <c r="U53" s="287">
        <f>53694-4500-2000</f>
        <v>47194</v>
      </c>
      <c r="V53" s="288"/>
      <c r="W53" s="288"/>
      <c r="X53" s="289"/>
      <c r="Y53" s="280">
        <f t="shared" ref="Y53:Y118" si="63">Z53+AA53+AB53+AC53</f>
        <v>273200</v>
      </c>
      <c r="Z53" s="281">
        <f>318200-3500-34000-7500</f>
        <v>273200</v>
      </c>
      <c r="AA53" s="282"/>
      <c r="AB53" s="282"/>
      <c r="AC53" s="283"/>
    </row>
    <row r="54" spans="1:29" s="253" customFormat="1" hidden="1" x14ac:dyDescent="0.2">
      <c r="A54" s="1313"/>
      <c r="B54" s="1276"/>
      <c r="C54" s="1276"/>
      <c r="D54" s="1276"/>
      <c r="E54" s="1276"/>
      <c r="F54" s="1315"/>
      <c r="G54" s="1309"/>
      <c r="H54" s="1311"/>
      <c r="I54" s="290" t="s">
        <v>73</v>
      </c>
      <c r="J54" s="291">
        <f t="shared" si="60"/>
        <v>320394</v>
      </c>
      <c r="K54" s="292">
        <f t="shared" si="60"/>
        <v>83750</v>
      </c>
      <c r="L54" s="293">
        <f t="shared" si="60"/>
        <v>82850</v>
      </c>
      <c r="M54" s="293">
        <f t="shared" si="60"/>
        <v>82160</v>
      </c>
      <c r="N54" s="294">
        <f t="shared" si="60"/>
        <v>71634</v>
      </c>
      <c r="O54" s="295">
        <f t="shared" si="61"/>
        <v>0</v>
      </c>
      <c r="P54" s="292"/>
      <c r="Q54" s="293"/>
      <c r="R54" s="293"/>
      <c r="S54" s="296"/>
      <c r="T54" s="297">
        <f t="shared" si="62"/>
        <v>47194</v>
      </c>
      <c r="U54" s="298">
        <f>13000-400</f>
        <v>12600</v>
      </c>
      <c r="V54" s="299">
        <f>13250-1000</f>
        <v>12250</v>
      </c>
      <c r="W54" s="299">
        <f>14350-2000-240</f>
        <v>12110</v>
      </c>
      <c r="X54" s="300">
        <f>13094-1100-1760</f>
        <v>10234</v>
      </c>
      <c r="Y54" s="291">
        <f t="shared" si="63"/>
        <v>273200</v>
      </c>
      <c r="Z54" s="292">
        <f>77200-6000-50</f>
        <v>71150</v>
      </c>
      <c r="AA54" s="293">
        <f>80000-3500-5000-900</f>
        <v>70600</v>
      </c>
      <c r="AB54" s="293">
        <f>80000-9000-950</f>
        <v>70050</v>
      </c>
      <c r="AC54" s="294">
        <f>81000-14000-5600</f>
        <v>61400</v>
      </c>
    </row>
    <row r="55" spans="1:29" s="254" customFormat="1" hidden="1" x14ac:dyDescent="0.2">
      <c r="A55" s="1312"/>
      <c r="B55" s="1275"/>
      <c r="C55" s="1275"/>
      <c r="D55" s="1275"/>
      <c r="E55" s="1275"/>
      <c r="F55" s="1314" t="s">
        <v>104</v>
      </c>
      <c r="G55" s="1308" t="s">
        <v>105</v>
      </c>
      <c r="H55" s="1310" t="s">
        <v>106</v>
      </c>
      <c r="I55" s="279" t="s">
        <v>72</v>
      </c>
      <c r="J55" s="280">
        <f t="shared" si="60"/>
        <v>30770</v>
      </c>
      <c r="K55" s="281">
        <f t="shared" si="60"/>
        <v>30770</v>
      </c>
      <c r="L55" s="282">
        <f t="shared" si="60"/>
        <v>0</v>
      </c>
      <c r="M55" s="282">
        <f t="shared" si="60"/>
        <v>0</v>
      </c>
      <c r="N55" s="283">
        <f t="shared" si="60"/>
        <v>0</v>
      </c>
      <c r="O55" s="284">
        <f t="shared" si="61"/>
        <v>0</v>
      </c>
      <c r="P55" s="281"/>
      <c r="Q55" s="282"/>
      <c r="R55" s="282"/>
      <c r="S55" s="285"/>
      <c r="T55" s="286">
        <f t="shared" si="62"/>
        <v>4620</v>
      </c>
      <c r="U55" s="287">
        <f>7770-2500-650</f>
        <v>4620</v>
      </c>
      <c r="V55" s="288"/>
      <c r="W55" s="288"/>
      <c r="X55" s="289"/>
      <c r="Y55" s="280">
        <f t="shared" si="63"/>
        <v>26150</v>
      </c>
      <c r="Z55" s="281">
        <f>44550-15000-3400</f>
        <v>26150</v>
      </c>
      <c r="AA55" s="282"/>
      <c r="AB55" s="282"/>
      <c r="AC55" s="283"/>
    </row>
    <row r="56" spans="1:29" s="253" customFormat="1" hidden="1" x14ac:dyDescent="0.2">
      <c r="A56" s="1313"/>
      <c r="B56" s="1276"/>
      <c r="C56" s="1276"/>
      <c r="D56" s="1276"/>
      <c r="E56" s="1276"/>
      <c r="F56" s="1315"/>
      <c r="G56" s="1309"/>
      <c r="H56" s="1311"/>
      <c r="I56" s="290" t="s">
        <v>73</v>
      </c>
      <c r="J56" s="291">
        <f t="shared" si="60"/>
        <v>30770</v>
      </c>
      <c r="K56" s="292">
        <f t="shared" si="60"/>
        <v>8828</v>
      </c>
      <c r="L56" s="293">
        <f t="shared" si="60"/>
        <v>8558</v>
      </c>
      <c r="M56" s="293">
        <f t="shared" si="60"/>
        <v>8213</v>
      </c>
      <c r="N56" s="294">
        <f t="shared" si="60"/>
        <v>5171</v>
      </c>
      <c r="O56" s="295">
        <f t="shared" si="61"/>
        <v>0</v>
      </c>
      <c r="P56" s="292"/>
      <c r="Q56" s="293"/>
      <c r="R56" s="293"/>
      <c r="S56" s="296"/>
      <c r="T56" s="297">
        <f t="shared" si="62"/>
        <v>4620</v>
      </c>
      <c r="U56" s="298">
        <f>1950-600-10</f>
        <v>1340</v>
      </c>
      <c r="V56" s="299">
        <f>1940-600-70</f>
        <v>1270</v>
      </c>
      <c r="W56" s="299">
        <f>1940-600-165</f>
        <v>1175</v>
      </c>
      <c r="X56" s="300">
        <f>1940-700-405</f>
        <v>835</v>
      </c>
      <c r="Y56" s="291">
        <f t="shared" si="63"/>
        <v>26150</v>
      </c>
      <c r="Z56" s="292">
        <f>11138-3500-150</f>
        <v>7488</v>
      </c>
      <c r="AA56" s="292">
        <f>11138-3500-350</f>
        <v>7288</v>
      </c>
      <c r="AB56" s="292">
        <f>11138-4000-100</f>
        <v>7038</v>
      </c>
      <c r="AC56" s="292">
        <f>11136-4000-2800</f>
        <v>4336</v>
      </c>
    </row>
    <row r="57" spans="1:29" s="254" customFormat="1" hidden="1" x14ac:dyDescent="0.2">
      <c r="A57" s="1312"/>
      <c r="B57" s="1275"/>
      <c r="C57" s="1275"/>
      <c r="D57" s="1275"/>
      <c r="E57" s="1275"/>
      <c r="F57" s="1314" t="s">
        <v>107</v>
      </c>
      <c r="G57" s="1308" t="s">
        <v>108</v>
      </c>
      <c r="H57" s="1310" t="s">
        <v>109</v>
      </c>
      <c r="I57" s="279" t="s">
        <v>72</v>
      </c>
      <c r="J57" s="280">
        <f t="shared" si="60"/>
        <v>220</v>
      </c>
      <c r="K57" s="281">
        <f t="shared" si="60"/>
        <v>220</v>
      </c>
      <c r="L57" s="282">
        <f t="shared" si="60"/>
        <v>0</v>
      </c>
      <c r="M57" s="282">
        <f t="shared" si="60"/>
        <v>0</v>
      </c>
      <c r="N57" s="283">
        <f t="shared" si="60"/>
        <v>0</v>
      </c>
      <c r="O57" s="284">
        <f t="shared" si="61"/>
        <v>0</v>
      </c>
      <c r="P57" s="281"/>
      <c r="Q57" s="282"/>
      <c r="R57" s="282"/>
      <c r="S57" s="285"/>
      <c r="T57" s="286">
        <f t="shared" si="62"/>
        <v>20</v>
      </c>
      <c r="U57" s="287">
        <f>20</f>
        <v>20</v>
      </c>
      <c r="V57" s="288"/>
      <c r="W57" s="288"/>
      <c r="X57" s="289"/>
      <c r="Y57" s="280">
        <f t="shared" si="63"/>
        <v>200</v>
      </c>
      <c r="Z57" s="281">
        <v>200</v>
      </c>
      <c r="AA57" s="282"/>
      <c r="AB57" s="282"/>
      <c r="AC57" s="283"/>
    </row>
    <row r="58" spans="1:29" s="253" customFormat="1" hidden="1" x14ac:dyDescent="0.2">
      <c r="A58" s="1313"/>
      <c r="B58" s="1276"/>
      <c r="C58" s="1276"/>
      <c r="D58" s="1276"/>
      <c r="E58" s="1276"/>
      <c r="F58" s="1315"/>
      <c r="G58" s="1309"/>
      <c r="H58" s="1311"/>
      <c r="I58" s="290" t="s">
        <v>73</v>
      </c>
      <c r="J58" s="291">
        <f t="shared" si="60"/>
        <v>220</v>
      </c>
      <c r="K58" s="292">
        <f t="shared" si="60"/>
        <v>220</v>
      </c>
      <c r="L58" s="293">
        <f t="shared" si="60"/>
        <v>0</v>
      </c>
      <c r="M58" s="293">
        <f t="shared" si="60"/>
        <v>0</v>
      </c>
      <c r="N58" s="294">
        <f t="shared" si="60"/>
        <v>0</v>
      </c>
      <c r="O58" s="295">
        <f t="shared" si="61"/>
        <v>0</v>
      </c>
      <c r="P58" s="292"/>
      <c r="Q58" s="293"/>
      <c r="R58" s="293"/>
      <c r="S58" s="296"/>
      <c r="T58" s="297">
        <f t="shared" si="62"/>
        <v>20</v>
      </c>
      <c r="U58" s="298">
        <f>20</f>
        <v>20</v>
      </c>
      <c r="V58" s="299"/>
      <c r="W58" s="299"/>
      <c r="X58" s="300"/>
      <c r="Y58" s="291">
        <f t="shared" si="63"/>
        <v>200</v>
      </c>
      <c r="Z58" s="292">
        <v>200</v>
      </c>
      <c r="AA58" s="293"/>
      <c r="AB58" s="293"/>
      <c r="AC58" s="294"/>
    </row>
    <row r="59" spans="1:29" s="313" customFormat="1" ht="15" hidden="1" customHeight="1" x14ac:dyDescent="0.2">
      <c r="A59" s="1312"/>
      <c r="B59" s="1275"/>
      <c r="C59" s="1275"/>
      <c r="D59" s="1275"/>
      <c r="E59" s="1275"/>
      <c r="F59" s="1314" t="s">
        <v>110</v>
      </c>
      <c r="G59" s="1308" t="s">
        <v>111</v>
      </c>
      <c r="H59" s="1310" t="s">
        <v>112</v>
      </c>
      <c r="I59" s="302" t="s">
        <v>72</v>
      </c>
      <c r="J59" s="303">
        <f t="shared" si="60"/>
        <v>0</v>
      </c>
      <c r="K59" s="304">
        <f t="shared" si="60"/>
        <v>0</v>
      </c>
      <c r="L59" s="305">
        <f t="shared" si="60"/>
        <v>0</v>
      </c>
      <c r="M59" s="305">
        <f t="shared" si="60"/>
        <v>0</v>
      </c>
      <c r="N59" s="306">
        <f t="shared" si="60"/>
        <v>0</v>
      </c>
      <c r="O59" s="307">
        <f t="shared" si="61"/>
        <v>0</v>
      </c>
      <c r="P59" s="304"/>
      <c r="Q59" s="305"/>
      <c r="R59" s="305"/>
      <c r="S59" s="308"/>
      <c r="T59" s="309">
        <f t="shared" si="62"/>
        <v>0</v>
      </c>
      <c r="U59" s="310"/>
      <c r="V59" s="311"/>
      <c r="W59" s="311"/>
      <c r="X59" s="312"/>
      <c r="Y59" s="303">
        <f t="shared" si="63"/>
        <v>0</v>
      </c>
      <c r="Z59" s="304"/>
      <c r="AA59" s="305"/>
      <c r="AB59" s="305"/>
      <c r="AC59" s="306"/>
    </row>
    <row r="60" spans="1:29" s="253" customFormat="1" ht="15" hidden="1" customHeight="1" x14ac:dyDescent="0.2">
      <c r="A60" s="1313"/>
      <c r="B60" s="1276"/>
      <c r="C60" s="1276"/>
      <c r="D60" s="1276"/>
      <c r="E60" s="1276"/>
      <c r="F60" s="1315"/>
      <c r="G60" s="1309"/>
      <c r="H60" s="1311"/>
      <c r="I60" s="290" t="s">
        <v>73</v>
      </c>
      <c r="J60" s="291">
        <f t="shared" si="60"/>
        <v>0</v>
      </c>
      <c r="K60" s="292">
        <f t="shared" si="60"/>
        <v>0</v>
      </c>
      <c r="L60" s="293">
        <f t="shared" si="60"/>
        <v>0</v>
      </c>
      <c r="M60" s="293">
        <f t="shared" si="60"/>
        <v>0</v>
      </c>
      <c r="N60" s="294">
        <f t="shared" si="60"/>
        <v>0</v>
      </c>
      <c r="O60" s="295">
        <f t="shared" si="61"/>
        <v>0</v>
      </c>
      <c r="P60" s="292"/>
      <c r="Q60" s="293"/>
      <c r="R60" s="293"/>
      <c r="S60" s="296"/>
      <c r="T60" s="297">
        <f t="shared" si="62"/>
        <v>0</v>
      </c>
      <c r="U60" s="298"/>
      <c r="V60" s="299"/>
      <c r="W60" s="299"/>
      <c r="X60" s="300"/>
      <c r="Y60" s="291">
        <f t="shared" si="63"/>
        <v>0</v>
      </c>
      <c r="Z60" s="292"/>
      <c r="AA60" s="293"/>
      <c r="AB60" s="293"/>
      <c r="AC60" s="294"/>
    </row>
    <row r="61" spans="1:29" s="313" customFormat="1" ht="15" hidden="1" customHeight="1" x14ac:dyDescent="0.2">
      <c r="A61" s="1312"/>
      <c r="B61" s="1275"/>
      <c r="C61" s="1275"/>
      <c r="D61" s="1275"/>
      <c r="E61" s="1275"/>
      <c r="F61" s="1314" t="s">
        <v>46</v>
      </c>
      <c r="G61" s="1308" t="s">
        <v>113</v>
      </c>
      <c r="H61" s="1310" t="s">
        <v>114</v>
      </c>
      <c r="I61" s="302" t="s">
        <v>72</v>
      </c>
      <c r="J61" s="303">
        <f t="shared" si="60"/>
        <v>0</v>
      </c>
      <c r="K61" s="304">
        <f t="shared" si="60"/>
        <v>0</v>
      </c>
      <c r="L61" s="305">
        <f t="shared" si="60"/>
        <v>0</v>
      </c>
      <c r="M61" s="305">
        <f t="shared" si="60"/>
        <v>0</v>
      </c>
      <c r="N61" s="306">
        <f t="shared" si="60"/>
        <v>0</v>
      </c>
      <c r="O61" s="307">
        <f t="shared" si="61"/>
        <v>0</v>
      </c>
      <c r="P61" s="304"/>
      <c r="Q61" s="305"/>
      <c r="R61" s="305"/>
      <c r="S61" s="308"/>
      <c r="T61" s="309">
        <f t="shared" si="62"/>
        <v>0</v>
      </c>
      <c r="U61" s="310"/>
      <c r="V61" s="311"/>
      <c r="W61" s="311"/>
      <c r="X61" s="312"/>
      <c r="Y61" s="303">
        <f t="shared" si="63"/>
        <v>0</v>
      </c>
      <c r="Z61" s="304"/>
      <c r="AA61" s="305"/>
      <c r="AB61" s="305"/>
      <c r="AC61" s="306"/>
    </row>
    <row r="62" spans="1:29" s="253" customFormat="1" ht="15" hidden="1" customHeight="1" x14ac:dyDescent="0.2">
      <c r="A62" s="1313"/>
      <c r="B62" s="1276"/>
      <c r="C62" s="1276"/>
      <c r="D62" s="1276"/>
      <c r="E62" s="1276"/>
      <c r="F62" s="1315"/>
      <c r="G62" s="1309"/>
      <c r="H62" s="1311"/>
      <c r="I62" s="290" t="s">
        <v>73</v>
      </c>
      <c r="J62" s="291">
        <f t="shared" si="60"/>
        <v>0</v>
      </c>
      <c r="K62" s="292">
        <f t="shared" si="60"/>
        <v>0</v>
      </c>
      <c r="L62" s="293">
        <f t="shared" si="60"/>
        <v>0</v>
      </c>
      <c r="M62" s="293">
        <f t="shared" si="60"/>
        <v>0</v>
      </c>
      <c r="N62" s="294">
        <f t="shared" si="60"/>
        <v>0</v>
      </c>
      <c r="O62" s="295">
        <f t="shared" si="61"/>
        <v>0</v>
      </c>
      <c r="P62" s="292"/>
      <c r="Q62" s="293"/>
      <c r="R62" s="293"/>
      <c r="S62" s="296"/>
      <c r="T62" s="297">
        <f t="shared" si="62"/>
        <v>0</v>
      </c>
      <c r="U62" s="298"/>
      <c r="V62" s="299"/>
      <c r="W62" s="299"/>
      <c r="X62" s="300"/>
      <c r="Y62" s="291">
        <f t="shared" si="63"/>
        <v>0</v>
      </c>
      <c r="Z62" s="292"/>
      <c r="AA62" s="293"/>
      <c r="AB62" s="293"/>
      <c r="AC62" s="294"/>
    </row>
    <row r="63" spans="1:29" s="254" customFormat="1" hidden="1" x14ac:dyDescent="0.2">
      <c r="A63" s="1312"/>
      <c r="B63" s="1275"/>
      <c r="C63" s="1275"/>
      <c r="D63" s="1275"/>
      <c r="E63" s="1275"/>
      <c r="F63" s="1314" t="s">
        <v>115</v>
      </c>
      <c r="G63" s="1308" t="s">
        <v>116</v>
      </c>
      <c r="H63" s="1310" t="s">
        <v>117</v>
      </c>
      <c r="I63" s="279" t="s">
        <v>72</v>
      </c>
      <c r="J63" s="280">
        <f t="shared" si="60"/>
        <v>850</v>
      </c>
      <c r="K63" s="281">
        <f t="shared" si="60"/>
        <v>850</v>
      </c>
      <c r="L63" s="282">
        <f t="shared" si="60"/>
        <v>0</v>
      </c>
      <c r="M63" s="282">
        <f t="shared" si="60"/>
        <v>0</v>
      </c>
      <c r="N63" s="283">
        <f t="shared" si="60"/>
        <v>0</v>
      </c>
      <c r="O63" s="284">
        <f t="shared" si="61"/>
        <v>0</v>
      </c>
      <c r="P63" s="281"/>
      <c r="Q63" s="282"/>
      <c r="R63" s="282"/>
      <c r="S63" s="285"/>
      <c r="T63" s="286">
        <f t="shared" si="62"/>
        <v>0</v>
      </c>
      <c r="U63" s="287"/>
      <c r="V63" s="288"/>
      <c r="W63" s="288"/>
      <c r="X63" s="289"/>
      <c r="Y63" s="280">
        <f t="shared" si="63"/>
        <v>850</v>
      </c>
      <c r="Z63" s="281">
        <f>1100-250</f>
        <v>850</v>
      </c>
      <c r="AA63" s="282"/>
      <c r="AB63" s="282"/>
      <c r="AC63" s="283"/>
    </row>
    <row r="64" spans="1:29" s="253" customFormat="1" hidden="1" x14ac:dyDescent="0.2">
      <c r="A64" s="1313"/>
      <c r="B64" s="1276"/>
      <c r="C64" s="1276"/>
      <c r="D64" s="1276"/>
      <c r="E64" s="1276"/>
      <c r="F64" s="1315"/>
      <c r="G64" s="1309"/>
      <c r="H64" s="1311"/>
      <c r="I64" s="290" t="s">
        <v>73</v>
      </c>
      <c r="J64" s="291">
        <f t="shared" si="60"/>
        <v>850</v>
      </c>
      <c r="K64" s="292">
        <f t="shared" si="60"/>
        <v>850</v>
      </c>
      <c r="L64" s="293">
        <f t="shared" si="60"/>
        <v>0</v>
      </c>
      <c r="M64" s="293">
        <f t="shared" si="60"/>
        <v>0</v>
      </c>
      <c r="N64" s="294">
        <f t="shared" si="60"/>
        <v>0</v>
      </c>
      <c r="O64" s="295">
        <f t="shared" si="61"/>
        <v>0</v>
      </c>
      <c r="P64" s="292"/>
      <c r="Q64" s="293"/>
      <c r="R64" s="293"/>
      <c r="S64" s="296"/>
      <c r="T64" s="297">
        <f t="shared" si="62"/>
        <v>0</v>
      </c>
      <c r="U64" s="298"/>
      <c r="V64" s="299"/>
      <c r="W64" s="299"/>
      <c r="X64" s="300"/>
      <c r="Y64" s="291">
        <f t="shared" si="63"/>
        <v>850</v>
      </c>
      <c r="Z64" s="292">
        <f>1100-250</f>
        <v>850</v>
      </c>
      <c r="AA64" s="293"/>
      <c r="AB64" s="293"/>
      <c r="AC64" s="294"/>
    </row>
    <row r="65" spans="1:29" s="254" customFormat="1" hidden="1" x14ac:dyDescent="0.2">
      <c r="A65" s="1312"/>
      <c r="B65" s="1275"/>
      <c r="C65" s="1275"/>
      <c r="D65" s="1275"/>
      <c r="E65" s="1275"/>
      <c r="F65" s="1314" t="s">
        <v>118</v>
      </c>
      <c r="G65" s="1308" t="s">
        <v>119</v>
      </c>
      <c r="H65" s="1310" t="s">
        <v>120</v>
      </c>
      <c r="I65" s="279" t="s">
        <v>72</v>
      </c>
      <c r="J65" s="280">
        <f t="shared" si="60"/>
        <v>1910</v>
      </c>
      <c r="K65" s="281">
        <f t="shared" si="60"/>
        <v>1910</v>
      </c>
      <c r="L65" s="282">
        <f t="shared" si="60"/>
        <v>0</v>
      </c>
      <c r="M65" s="282">
        <f t="shared" si="60"/>
        <v>0</v>
      </c>
      <c r="N65" s="283">
        <f t="shared" si="60"/>
        <v>0</v>
      </c>
      <c r="O65" s="284">
        <f t="shared" si="61"/>
        <v>0</v>
      </c>
      <c r="P65" s="281"/>
      <c r="Q65" s="282"/>
      <c r="R65" s="282"/>
      <c r="S65" s="285"/>
      <c r="T65" s="286">
        <f t="shared" si="62"/>
        <v>510</v>
      </c>
      <c r="U65" s="287">
        <f>740-230</f>
        <v>510</v>
      </c>
      <c r="V65" s="288"/>
      <c r="W65" s="288"/>
      <c r="X65" s="289"/>
      <c r="Y65" s="280">
        <f t="shared" si="63"/>
        <v>1400</v>
      </c>
      <c r="Z65" s="281">
        <f>1800-400</f>
        <v>1400</v>
      </c>
      <c r="AA65" s="282"/>
      <c r="AB65" s="282"/>
      <c r="AC65" s="283"/>
    </row>
    <row r="66" spans="1:29" s="253" customFormat="1" hidden="1" x14ac:dyDescent="0.2">
      <c r="A66" s="1313"/>
      <c r="B66" s="1276"/>
      <c r="C66" s="1276"/>
      <c r="D66" s="1276"/>
      <c r="E66" s="1276"/>
      <c r="F66" s="1315"/>
      <c r="G66" s="1309"/>
      <c r="H66" s="1311"/>
      <c r="I66" s="290" t="s">
        <v>73</v>
      </c>
      <c r="J66" s="291">
        <f t="shared" si="60"/>
        <v>1910</v>
      </c>
      <c r="K66" s="292">
        <f t="shared" si="60"/>
        <v>502</v>
      </c>
      <c r="L66" s="293">
        <f t="shared" si="60"/>
        <v>452</v>
      </c>
      <c r="M66" s="293">
        <f t="shared" si="60"/>
        <v>528</v>
      </c>
      <c r="N66" s="294">
        <f t="shared" si="60"/>
        <v>428</v>
      </c>
      <c r="O66" s="295">
        <f t="shared" si="61"/>
        <v>0</v>
      </c>
      <c r="P66" s="292"/>
      <c r="Q66" s="293"/>
      <c r="R66" s="293"/>
      <c r="S66" s="296"/>
      <c r="T66" s="297">
        <f t="shared" si="62"/>
        <v>510</v>
      </c>
      <c r="U66" s="298">
        <f>185-58</f>
        <v>127</v>
      </c>
      <c r="V66" s="299">
        <f>185-58</f>
        <v>127</v>
      </c>
      <c r="W66" s="299">
        <f>185-57</f>
        <v>128</v>
      </c>
      <c r="X66" s="300">
        <f>185-57</f>
        <v>128</v>
      </c>
      <c r="Y66" s="291">
        <f t="shared" si="63"/>
        <v>1400</v>
      </c>
      <c r="Z66" s="292">
        <f>500-125</f>
        <v>375</v>
      </c>
      <c r="AA66" s="293">
        <f>500-175</f>
        <v>325</v>
      </c>
      <c r="AB66" s="293">
        <f>500-100</f>
        <v>400</v>
      </c>
      <c r="AC66" s="294">
        <v>300</v>
      </c>
    </row>
    <row r="67" spans="1:29" s="254" customFormat="1" hidden="1" x14ac:dyDescent="0.2">
      <c r="A67" s="1312"/>
      <c r="B67" s="1275"/>
      <c r="C67" s="1275"/>
      <c r="D67" s="1275"/>
      <c r="E67" s="1275"/>
      <c r="F67" s="1314" t="s">
        <v>121</v>
      </c>
      <c r="G67" s="1308" t="s">
        <v>122</v>
      </c>
      <c r="H67" s="1310" t="s">
        <v>123</v>
      </c>
      <c r="I67" s="279" t="s">
        <v>72</v>
      </c>
      <c r="J67" s="280">
        <f t="shared" si="60"/>
        <v>200</v>
      </c>
      <c r="K67" s="281">
        <f t="shared" si="60"/>
        <v>200</v>
      </c>
      <c r="L67" s="282">
        <f t="shared" si="60"/>
        <v>0</v>
      </c>
      <c r="M67" s="282">
        <f t="shared" si="60"/>
        <v>0</v>
      </c>
      <c r="N67" s="283">
        <f t="shared" si="60"/>
        <v>0</v>
      </c>
      <c r="O67" s="284">
        <f t="shared" si="61"/>
        <v>0</v>
      </c>
      <c r="P67" s="281"/>
      <c r="Q67" s="282"/>
      <c r="R67" s="282"/>
      <c r="S67" s="285"/>
      <c r="T67" s="286">
        <f t="shared" si="62"/>
        <v>50</v>
      </c>
      <c r="U67" s="287">
        <f>250-200</f>
        <v>50</v>
      </c>
      <c r="V67" s="288"/>
      <c r="W67" s="288"/>
      <c r="X67" s="289"/>
      <c r="Y67" s="280">
        <f t="shared" si="63"/>
        <v>150</v>
      </c>
      <c r="Z67" s="281">
        <f>250-100</f>
        <v>150</v>
      </c>
      <c r="AA67" s="282"/>
      <c r="AB67" s="282"/>
      <c r="AC67" s="283"/>
    </row>
    <row r="68" spans="1:29" s="253" customFormat="1" hidden="1" x14ac:dyDescent="0.2">
      <c r="A68" s="1313"/>
      <c r="B68" s="1276"/>
      <c r="C68" s="1276"/>
      <c r="D68" s="1276"/>
      <c r="E68" s="1276"/>
      <c r="F68" s="1315"/>
      <c r="G68" s="1309"/>
      <c r="H68" s="1311"/>
      <c r="I68" s="290" t="s">
        <v>73</v>
      </c>
      <c r="J68" s="291">
        <f t="shared" si="60"/>
        <v>200</v>
      </c>
      <c r="K68" s="292">
        <f t="shared" si="60"/>
        <v>200</v>
      </c>
      <c r="L68" s="293">
        <f t="shared" si="60"/>
        <v>0</v>
      </c>
      <c r="M68" s="293">
        <f t="shared" si="60"/>
        <v>0</v>
      </c>
      <c r="N68" s="294">
        <f t="shared" si="60"/>
        <v>0</v>
      </c>
      <c r="O68" s="295">
        <f t="shared" si="61"/>
        <v>0</v>
      </c>
      <c r="P68" s="292"/>
      <c r="Q68" s="293"/>
      <c r="R68" s="293"/>
      <c r="S68" s="296"/>
      <c r="T68" s="297">
        <f t="shared" si="62"/>
        <v>50</v>
      </c>
      <c r="U68" s="298">
        <f>250-200</f>
        <v>50</v>
      </c>
      <c r="V68" s="299"/>
      <c r="W68" s="299"/>
      <c r="X68" s="300"/>
      <c r="Y68" s="291">
        <f t="shared" si="63"/>
        <v>150</v>
      </c>
      <c r="Z68" s="292">
        <f>250-100</f>
        <v>150</v>
      </c>
      <c r="AA68" s="293"/>
      <c r="AB68" s="293"/>
      <c r="AC68" s="294"/>
    </row>
    <row r="69" spans="1:29" s="254" customFormat="1" hidden="1" x14ac:dyDescent="0.2">
      <c r="A69" s="1312"/>
      <c r="B69" s="1275"/>
      <c r="C69" s="1275"/>
      <c r="D69" s="1275"/>
      <c r="E69" s="1275"/>
      <c r="F69" s="1314" t="s">
        <v>63</v>
      </c>
      <c r="G69" s="1308" t="s">
        <v>124</v>
      </c>
      <c r="H69" s="1310" t="s">
        <v>125</v>
      </c>
      <c r="I69" s="279" t="s">
        <v>72</v>
      </c>
      <c r="J69" s="280">
        <f t="shared" ref="J69:N74" si="64">O69+T69+Y69</f>
        <v>200</v>
      </c>
      <c r="K69" s="281">
        <f t="shared" si="64"/>
        <v>200</v>
      </c>
      <c r="L69" s="282">
        <f t="shared" si="64"/>
        <v>0</v>
      </c>
      <c r="M69" s="282">
        <f t="shared" si="64"/>
        <v>0</v>
      </c>
      <c r="N69" s="283">
        <f t="shared" si="64"/>
        <v>0</v>
      </c>
      <c r="O69" s="284">
        <f t="shared" si="61"/>
        <v>0</v>
      </c>
      <c r="P69" s="281"/>
      <c r="Q69" s="282"/>
      <c r="R69" s="282"/>
      <c r="S69" s="285"/>
      <c r="T69" s="286">
        <f t="shared" si="62"/>
        <v>50</v>
      </c>
      <c r="U69" s="287">
        <f>250-200</f>
        <v>50</v>
      </c>
      <c r="V69" s="288"/>
      <c r="W69" s="288"/>
      <c r="X69" s="289"/>
      <c r="Y69" s="280">
        <f t="shared" si="63"/>
        <v>150</v>
      </c>
      <c r="Z69" s="281">
        <f>250-100</f>
        <v>150</v>
      </c>
      <c r="AA69" s="282"/>
      <c r="AB69" s="282"/>
      <c r="AC69" s="283"/>
    </row>
    <row r="70" spans="1:29" s="253" customFormat="1" hidden="1" x14ac:dyDescent="0.2">
      <c r="A70" s="1313"/>
      <c r="B70" s="1276"/>
      <c r="C70" s="1276"/>
      <c r="D70" s="1276"/>
      <c r="E70" s="1276"/>
      <c r="F70" s="1315"/>
      <c r="G70" s="1309"/>
      <c r="H70" s="1311"/>
      <c r="I70" s="290" t="s">
        <v>73</v>
      </c>
      <c r="J70" s="291">
        <f t="shared" si="64"/>
        <v>200</v>
      </c>
      <c r="K70" s="292">
        <f t="shared" si="64"/>
        <v>200</v>
      </c>
      <c r="L70" s="293">
        <f t="shared" si="64"/>
        <v>0</v>
      </c>
      <c r="M70" s="293">
        <f t="shared" si="64"/>
        <v>0</v>
      </c>
      <c r="N70" s="294">
        <f t="shared" si="64"/>
        <v>0</v>
      </c>
      <c r="O70" s="295">
        <f t="shared" si="61"/>
        <v>0</v>
      </c>
      <c r="P70" s="292"/>
      <c r="Q70" s="293"/>
      <c r="R70" s="293"/>
      <c r="S70" s="296"/>
      <c r="T70" s="297">
        <f t="shared" si="62"/>
        <v>50</v>
      </c>
      <c r="U70" s="298">
        <f>250-200</f>
        <v>50</v>
      </c>
      <c r="V70" s="299"/>
      <c r="W70" s="299"/>
      <c r="X70" s="300"/>
      <c r="Y70" s="291">
        <f t="shared" si="63"/>
        <v>150</v>
      </c>
      <c r="Z70" s="292">
        <f>250-100</f>
        <v>150</v>
      </c>
      <c r="AA70" s="293"/>
      <c r="AB70" s="293"/>
      <c r="AC70" s="294"/>
    </row>
    <row r="71" spans="1:29" s="253" customFormat="1" ht="15" hidden="1" customHeight="1" x14ac:dyDescent="0.2">
      <c r="A71" s="1312"/>
      <c r="B71" s="1275"/>
      <c r="C71" s="1275"/>
      <c r="D71" s="1275"/>
      <c r="E71" s="1275"/>
      <c r="F71" s="1314">
        <v>17</v>
      </c>
      <c r="G71" s="1308" t="s">
        <v>126</v>
      </c>
      <c r="H71" s="1310" t="s">
        <v>127</v>
      </c>
      <c r="I71" s="314" t="s">
        <v>72</v>
      </c>
      <c r="J71" s="280">
        <f t="shared" si="64"/>
        <v>0</v>
      </c>
      <c r="K71" s="281">
        <f t="shared" si="64"/>
        <v>0</v>
      </c>
      <c r="L71" s="282">
        <f t="shared" si="64"/>
        <v>0</v>
      </c>
      <c r="M71" s="282">
        <f t="shared" si="64"/>
        <v>0</v>
      </c>
      <c r="N71" s="283">
        <f t="shared" si="64"/>
        <v>0</v>
      </c>
      <c r="O71" s="284">
        <f t="shared" si="61"/>
        <v>0</v>
      </c>
      <c r="P71" s="281"/>
      <c r="Q71" s="282"/>
      <c r="R71" s="282"/>
      <c r="S71" s="285"/>
      <c r="T71" s="286">
        <f t="shared" si="62"/>
        <v>0</v>
      </c>
      <c r="U71" s="287"/>
      <c r="V71" s="288"/>
      <c r="W71" s="288"/>
      <c r="X71" s="289"/>
      <c r="Y71" s="280">
        <f t="shared" si="63"/>
        <v>0</v>
      </c>
      <c r="Z71" s="281"/>
      <c r="AA71" s="282"/>
      <c r="AB71" s="282"/>
      <c r="AC71" s="283"/>
    </row>
    <row r="72" spans="1:29" s="253" customFormat="1" ht="15" hidden="1" customHeight="1" x14ac:dyDescent="0.2">
      <c r="A72" s="1313"/>
      <c r="B72" s="1276"/>
      <c r="C72" s="1276"/>
      <c r="D72" s="1276"/>
      <c r="E72" s="1276"/>
      <c r="F72" s="1315"/>
      <c r="G72" s="1309"/>
      <c r="H72" s="1311"/>
      <c r="I72" s="290" t="s">
        <v>73</v>
      </c>
      <c r="J72" s="291">
        <f t="shared" si="64"/>
        <v>0</v>
      </c>
      <c r="K72" s="292">
        <f t="shared" si="64"/>
        <v>0</v>
      </c>
      <c r="L72" s="293">
        <f t="shared" si="64"/>
        <v>0</v>
      </c>
      <c r="M72" s="293">
        <f t="shared" si="64"/>
        <v>0</v>
      </c>
      <c r="N72" s="294">
        <f t="shared" si="64"/>
        <v>0</v>
      </c>
      <c r="O72" s="295">
        <f t="shared" si="61"/>
        <v>0</v>
      </c>
      <c r="P72" s="292"/>
      <c r="Q72" s="293"/>
      <c r="R72" s="293"/>
      <c r="S72" s="296"/>
      <c r="T72" s="297">
        <f t="shared" si="62"/>
        <v>0</v>
      </c>
      <c r="U72" s="298"/>
      <c r="V72" s="299"/>
      <c r="W72" s="299"/>
      <c r="X72" s="300"/>
      <c r="Y72" s="291">
        <f t="shared" si="63"/>
        <v>0</v>
      </c>
      <c r="Z72" s="292"/>
      <c r="AA72" s="293"/>
      <c r="AB72" s="293"/>
      <c r="AC72" s="294"/>
    </row>
    <row r="73" spans="1:29" s="254" customFormat="1" hidden="1" x14ac:dyDescent="0.2">
      <c r="A73" s="1312"/>
      <c r="B73" s="1275"/>
      <c r="C73" s="1275"/>
      <c r="D73" s="1275"/>
      <c r="E73" s="1275"/>
      <c r="F73" s="1314" t="s">
        <v>128</v>
      </c>
      <c r="G73" s="1308" t="s">
        <v>129</v>
      </c>
      <c r="H73" s="1310" t="s">
        <v>130</v>
      </c>
      <c r="I73" s="279" t="s">
        <v>72</v>
      </c>
      <c r="J73" s="280">
        <f t="shared" si="64"/>
        <v>470</v>
      </c>
      <c r="K73" s="281">
        <f t="shared" si="64"/>
        <v>470</v>
      </c>
      <c r="L73" s="282">
        <f t="shared" si="64"/>
        <v>0</v>
      </c>
      <c r="M73" s="282">
        <f t="shared" si="64"/>
        <v>0</v>
      </c>
      <c r="N73" s="283">
        <f t="shared" si="64"/>
        <v>0</v>
      </c>
      <c r="O73" s="284">
        <f t="shared" si="61"/>
        <v>0</v>
      </c>
      <c r="P73" s="281"/>
      <c r="Q73" s="282"/>
      <c r="R73" s="282"/>
      <c r="S73" s="285"/>
      <c r="T73" s="286">
        <f t="shared" si="62"/>
        <v>60</v>
      </c>
      <c r="U73" s="287">
        <f>110-50</f>
        <v>60</v>
      </c>
      <c r="V73" s="288"/>
      <c r="W73" s="288"/>
      <c r="X73" s="289"/>
      <c r="Y73" s="280">
        <f t="shared" si="63"/>
        <v>410</v>
      </c>
      <c r="Z73" s="281">
        <f>610-200</f>
        <v>410</v>
      </c>
      <c r="AA73" s="282"/>
      <c r="AB73" s="282"/>
      <c r="AC73" s="283"/>
    </row>
    <row r="74" spans="1:29" s="253" customFormat="1" hidden="1" x14ac:dyDescent="0.2">
      <c r="A74" s="1313"/>
      <c r="B74" s="1276"/>
      <c r="C74" s="1276"/>
      <c r="D74" s="1276"/>
      <c r="E74" s="1276"/>
      <c r="F74" s="1315"/>
      <c r="G74" s="1309"/>
      <c r="H74" s="1311"/>
      <c r="I74" s="290" t="s">
        <v>73</v>
      </c>
      <c r="J74" s="291">
        <f t="shared" si="64"/>
        <v>470</v>
      </c>
      <c r="K74" s="292">
        <f t="shared" si="64"/>
        <v>470</v>
      </c>
      <c r="L74" s="293">
        <f t="shared" si="64"/>
        <v>0</v>
      </c>
      <c r="M74" s="293">
        <f t="shared" si="64"/>
        <v>0</v>
      </c>
      <c r="N74" s="294">
        <f t="shared" si="64"/>
        <v>0</v>
      </c>
      <c r="O74" s="295">
        <f t="shared" si="61"/>
        <v>0</v>
      </c>
      <c r="P74" s="292"/>
      <c r="Q74" s="293"/>
      <c r="R74" s="293"/>
      <c r="S74" s="296"/>
      <c r="T74" s="297">
        <f t="shared" si="62"/>
        <v>60</v>
      </c>
      <c r="U74" s="298">
        <f>110-50</f>
        <v>60</v>
      </c>
      <c r="V74" s="299"/>
      <c r="W74" s="299"/>
      <c r="X74" s="300"/>
      <c r="Y74" s="291">
        <f t="shared" si="63"/>
        <v>410</v>
      </c>
      <c r="Z74" s="292">
        <f>610-200</f>
        <v>410</v>
      </c>
      <c r="AA74" s="293"/>
      <c r="AB74" s="293"/>
      <c r="AC74" s="294"/>
    </row>
    <row r="75" spans="1:29" s="254" customFormat="1" hidden="1" x14ac:dyDescent="0.2">
      <c r="A75" s="1312"/>
      <c r="B75" s="1275"/>
      <c r="C75" s="1275"/>
      <c r="D75" s="1275"/>
      <c r="E75" s="1277" t="s">
        <v>131</v>
      </c>
      <c r="F75" s="1322"/>
      <c r="G75" s="1318" t="s">
        <v>132</v>
      </c>
      <c r="H75" s="1316" t="s">
        <v>133</v>
      </c>
      <c r="I75" s="199" t="s">
        <v>72</v>
      </c>
      <c r="J75" s="315">
        <f>K75+L75+M75+N75</f>
        <v>30300</v>
      </c>
      <c r="K75" s="316">
        <f t="shared" ref="K75:N76" si="65">K77+K79</f>
        <v>30300</v>
      </c>
      <c r="L75" s="317">
        <f t="shared" si="65"/>
        <v>0</v>
      </c>
      <c r="M75" s="317">
        <f t="shared" si="65"/>
        <v>0</v>
      </c>
      <c r="N75" s="318">
        <f t="shared" si="65"/>
        <v>0</v>
      </c>
      <c r="O75" s="319">
        <f t="shared" si="61"/>
        <v>0</v>
      </c>
      <c r="P75" s="320">
        <f>P77+P79</f>
        <v>0</v>
      </c>
      <c r="Q75" s="321">
        <f t="shared" ref="Q75:S76" si="66">Q77+Q79</f>
        <v>0</v>
      </c>
      <c r="R75" s="321">
        <f t="shared" si="66"/>
        <v>0</v>
      </c>
      <c r="S75" s="322">
        <f t="shared" si="66"/>
        <v>0</v>
      </c>
      <c r="T75" s="323">
        <f t="shared" si="62"/>
        <v>5100</v>
      </c>
      <c r="U75" s="324">
        <f>U77+U79</f>
        <v>5100</v>
      </c>
      <c r="V75" s="325">
        <f t="shared" ref="V75:X76" si="67">V77+V79</f>
        <v>0</v>
      </c>
      <c r="W75" s="325">
        <f t="shared" si="67"/>
        <v>0</v>
      </c>
      <c r="X75" s="326">
        <f t="shared" si="67"/>
        <v>0</v>
      </c>
      <c r="Y75" s="327">
        <f t="shared" si="63"/>
        <v>25200</v>
      </c>
      <c r="Z75" s="328">
        <f>Z77+Z79</f>
        <v>25200</v>
      </c>
      <c r="AA75" s="329">
        <f t="shared" ref="AA75:AC76" si="68">AA77+AA79</f>
        <v>0</v>
      </c>
      <c r="AB75" s="329">
        <f t="shared" si="68"/>
        <v>0</v>
      </c>
      <c r="AC75" s="330">
        <f t="shared" si="68"/>
        <v>0</v>
      </c>
    </row>
    <row r="76" spans="1:29" s="253" customFormat="1" hidden="1" x14ac:dyDescent="0.2">
      <c r="A76" s="1313"/>
      <c r="B76" s="1276"/>
      <c r="C76" s="1276"/>
      <c r="D76" s="1276"/>
      <c r="E76" s="1278"/>
      <c r="F76" s="1323"/>
      <c r="G76" s="1319"/>
      <c r="H76" s="1317"/>
      <c r="I76" s="331" t="s">
        <v>73</v>
      </c>
      <c r="J76" s="332">
        <f>K76+L76+M76+N76</f>
        <v>30300</v>
      </c>
      <c r="K76" s="333">
        <f t="shared" si="65"/>
        <v>11720</v>
      </c>
      <c r="L76" s="334">
        <f t="shared" si="65"/>
        <v>6470</v>
      </c>
      <c r="M76" s="334">
        <f t="shared" si="65"/>
        <v>6440</v>
      </c>
      <c r="N76" s="335">
        <f t="shared" si="65"/>
        <v>5670</v>
      </c>
      <c r="O76" s="336">
        <f t="shared" si="61"/>
        <v>0</v>
      </c>
      <c r="P76" s="337">
        <f>P78+P80</f>
        <v>0</v>
      </c>
      <c r="Q76" s="338">
        <f t="shared" si="66"/>
        <v>0</v>
      </c>
      <c r="R76" s="338">
        <f t="shared" si="66"/>
        <v>0</v>
      </c>
      <c r="S76" s="339">
        <f t="shared" si="66"/>
        <v>0</v>
      </c>
      <c r="T76" s="340">
        <f t="shared" si="62"/>
        <v>5100</v>
      </c>
      <c r="U76" s="341">
        <f>U78+U80</f>
        <v>2000</v>
      </c>
      <c r="V76" s="342">
        <f t="shared" si="67"/>
        <v>1100</v>
      </c>
      <c r="W76" s="342">
        <f t="shared" si="67"/>
        <v>1070</v>
      </c>
      <c r="X76" s="343">
        <f t="shared" si="67"/>
        <v>930</v>
      </c>
      <c r="Y76" s="344">
        <f t="shared" si="63"/>
        <v>25200</v>
      </c>
      <c r="Z76" s="345">
        <f>Z78+Z80</f>
        <v>9720</v>
      </c>
      <c r="AA76" s="346">
        <f t="shared" si="68"/>
        <v>5370</v>
      </c>
      <c r="AB76" s="346">
        <f t="shared" si="68"/>
        <v>5370</v>
      </c>
      <c r="AC76" s="347">
        <f t="shared" si="68"/>
        <v>4740</v>
      </c>
    </row>
    <row r="77" spans="1:29" s="254" customFormat="1" hidden="1" x14ac:dyDescent="0.2">
      <c r="A77" s="1312"/>
      <c r="B77" s="1275"/>
      <c r="C77" s="1275"/>
      <c r="D77" s="1275"/>
      <c r="E77" s="1275"/>
      <c r="F77" s="1314" t="s">
        <v>131</v>
      </c>
      <c r="G77" s="1308" t="s">
        <v>134</v>
      </c>
      <c r="H77" s="1310" t="s">
        <v>135</v>
      </c>
      <c r="I77" s="279" t="s">
        <v>72</v>
      </c>
      <c r="J77" s="280">
        <f t="shared" ref="J77:N80" si="69">O77+T77+Y77</f>
        <v>25050</v>
      </c>
      <c r="K77" s="281">
        <f t="shared" si="69"/>
        <v>25050</v>
      </c>
      <c r="L77" s="282">
        <f t="shared" si="69"/>
        <v>0</v>
      </c>
      <c r="M77" s="282">
        <f t="shared" si="69"/>
        <v>0</v>
      </c>
      <c r="N77" s="283">
        <f t="shared" si="69"/>
        <v>0</v>
      </c>
      <c r="O77" s="284">
        <f t="shared" si="61"/>
        <v>0</v>
      </c>
      <c r="P77" s="281"/>
      <c r="Q77" s="282"/>
      <c r="R77" s="282"/>
      <c r="S77" s="285"/>
      <c r="T77" s="286">
        <f t="shared" si="62"/>
        <v>4200</v>
      </c>
      <c r="U77" s="287">
        <f>4400-200</f>
        <v>4200</v>
      </c>
      <c r="V77" s="288"/>
      <c r="W77" s="288"/>
      <c r="X77" s="289"/>
      <c r="Y77" s="280">
        <f t="shared" si="63"/>
        <v>20850</v>
      </c>
      <c r="Z77" s="281">
        <f>21600-750</f>
        <v>20850</v>
      </c>
      <c r="AA77" s="282"/>
      <c r="AB77" s="282"/>
      <c r="AC77" s="283"/>
    </row>
    <row r="78" spans="1:29" s="253" customFormat="1" hidden="1" x14ac:dyDescent="0.2">
      <c r="A78" s="1313"/>
      <c r="B78" s="1276"/>
      <c r="C78" s="1276"/>
      <c r="D78" s="1276"/>
      <c r="E78" s="1276"/>
      <c r="F78" s="1315"/>
      <c r="G78" s="1309"/>
      <c r="H78" s="1311"/>
      <c r="I78" s="290" t="s">
        <v>73</v>
      </c>
      <c r="J78" s="291">
        <f t="shared" si="69"/>
        <v>25050</v>
      </c>
      <c r="K78" s="292">
        <f t="shared" si="69"/>
        <v>6470</v>
      </c>
      <c r="L78" s="293">
        <f t="shared" si="69"/>
        <v>6470</v>
      </c>
      <c r="M78" s="293">
        <f t="shared" si="69"/>
        <v>6440</v>
      </c>
      <c r="N78" s="294">
        <f t="shared" si="69"/>
        <v>5670</v>
      </c>
      <c r="O78" s="295">
        <f t="shared" si="61"/>
        <v>0</v>
      </c>
      <c r="P78" s="292"/>
      <c r="Q78" s="293"/>
      <c r="R78" s="293"/>
      <c r="S78" s="296"/>
      <c r="T78" s="297">
        <f t="shared" si="62"/>
        <v>4200</v>
      </c>
      <c r="U78" s="298">
        <v>1100</v>
      </c>
      <c r="V78" s="299">
        <v>1100</v>
      </c>
      <c r="W78" s="299">
        <f>1100-30</f>
        <v>1070</v>
      </c>
      <c r="X78" s="299">
        <f>1100-170</f>
        <v>930</v>
      </c>
      <c r="Y78" s="291">
        <f t="shared" si="63"/>
        <v>20850</v>
      </c>
      <c r="Z78" s="292">
        <f>5400-30</f>
        <v>5370</v>
      </c>
      <c r="AA78" s="293">
        <f>5400-30</f>
        <v>5370</v>
      </c>
      <c r="AB78" s="293">
        <f>5400-30</f>
        <v>5370</v>
      </c>
      <c r="AC78" s="294">
        <f>5400-660</f>
        <v>4740</v>
      </c>
    </row>
    <row r="79" spans="1:29" s="254" customFormat="1" hidden="1" x14ac:dyDescent="0.2">
      <c r="A79" s="1312"/>
      <c r="B79" s="1275"/>
      <c r="C79" s="1275"/>
      <c r="D79" s="1275"/>
      <c r="E79" s="1275"/>
      <c r="F79" s="1320" t="s">
        <v>107</v>
      </c>
      <c r="G79" s="1308" t="s">
        <v>136</v>
      </c>
      <c r="H79" s="1310" t="s">
        <v>137</v>
      </c>
      <c r="I79" s="279" t="s">
        <v>72</v>
      </c>
      <c r="J79" s="280">
        <f t="shared" si="69"/>
        <v>5250</v>
      </c>
      <c r="K79" s="281">
        <f t="shared" si="69"/>
        <v>5250</v>
      </c>
      <c r="L79" s="282">
        <f t="shared" si="69"/>
        <v>0</v>
      </c>
      <c r="M79" s="282">
        <f t="shared" si="69"/>
        <v>0</v>
      </c>
      <c r="N79" s="283">
        <f t="shared" si="69"/>
        <v>0</v>
      </c>
      <c r="O79" s="284">
        <f t="shared" si="61"/>
        <v>0</v>
      </c>
      <c r="P79" s="281"/>
      <c r="Q79" s="282"/>
      <c r="R79" s="282"/>
      <c r="S79" s="285"/>
      <c r="T79" s="286">
        <f t="shared" si="62"/>
        <v>900</v>
      </c>
      <c r="U79" s="287">
        <f>950-50</f>
        <v>900</v>
      </c>
      <c r="V79" s="288"/>
      <c r="W79" s="288"/>
      <c r="X79" s="289"/>
      <c r="Y79" s="280">
        <f t="shared" si="63"/>
        <v>4350</v>
      </c>
      <c r="Z79" s="281">
        <f>4700-350</f>
        <v>4350</v>
      </c>
      <c r="AA79" s="282"/>
      <c r="AB79" s="282"/>
      <c r="AC79" s="283"/>
    </row>
    <row r="80" spans="1:29" s="253" customFormat="1" ht="15" hidden="1" customHeight="1" x14ac:dyDescent="0.2">
      <c r="A80" s="1313"/>
      <c r="B80" s="1276"/>
      <c r="C80" s="1276"/>
      <c r="D80" s="1276"/>
      <c r="E80" s="1276"/>
      <c r="F80" s="1321"/>
      <c r="G80" s="1309"/>
      <c r="H80" s="1311"/>
      <c r="I80" s="290" t="s">
        <v>73</v>
      </c>
      <c r="J80" s="291">
        <f t="shared" si="69"/>
        <v>5250</v>
      </c>
      <c r="K80" s="292">
        <f t="shared" si="69"/>
        <v>5250</v>
      </c>
      <c r="L80" s="293">
        <f t="shared" si="69"/>
        <v>0</v>
      </c>
      <c r="M80" s="293">
        <f t="shared" si="69"/>
        <v>0</v>
      </c>
      <c r="N80" s="294">
        <f t="shared" si="69"/>
        <v>0</v>
      </c>
      <c r="O80" s="295">
        <f t="shared" si="61"/>
        <v>0</v>
      </c>
      <c r="P80" s="292"/>
      <c r="Q80" s="293"/>
      <c r="R80" s="293"/>
      <c r="S80" s="296"/>
      <c r="T80" s="297">
        <f t="shared" si="62"/>
        <v>900</v>
      </c>
      <c r="U80" s="298">
        <f>950-50</f>
        <v>900</v>
      </c>
      <c r="V80" s="299"/>
      <c r="W80" s="299"/>
      <c r="X80" s="300"/>
      <c r="Y80" s="291">
        <f t="shared" si="63"/>
        <v>4350</v>
      </c>
      <c r="Z80" s="292">
        <f>4700-350</f>
        <v>4350</v>
      </c>
      <c r="AA80" s="293"/>
      <c r="AB80" s="293"/>
      <c r="AC80" s="294"/>
    </row>
    <row r="81" spans="1:29" s="254" customFormat="1" ht="15" hidden="1" customHeight="1" x14ac:dyDescent="0.2">
      <c r="A81" s="1312"/>
      <c r="B81" s="1275"/>
      <c r="C81" s="1275"/>
      <c r="D81" s="1275"/>
      <c r="E81" s="1277" t="s">
        <v>66</v>
      </c>
      <c r="F81" s="1324"/>
      <c r="G81" s="1318" t="s">
        <v>138</v>
      </c>
      <c r="H81" s="1316" t="s">
        <v>139</v>
      </c>
      <c r="I81" s="199" t="s">
        <v>72</v>
      </c>
      <c r="J81" s="315">
        <f>K81+L81+M81+N81</f>
        <v>9523</v>
      </c>
      <c r="K81" s="316">
        <f t="shared" ref="K81:N82" si="70">K83+K85+K87+K89+K91+K93</f>
        <v>9523</v>
      </c>
      <c r="L81" s="317">
        <f t="shared" si="70"/>
        <v>0</v>
      </c>
      <c r="M81" s="317">
        <f t="shared" si="70"/>
        <v>0</v>
      </c>
      <c r="N81" s="318">
        <f t="shared" si="70"/>
        <v>0</v>
      </c>
      <c r="O81" s="319">
        <f>P81+Q81+R81+S81</f>
        <v>0</v>
      </c>
      <c r="P81" s="320">
        <f t="shared" ref="P81:S82" si="71">P83+P85+P87+P89+P91+P93</f>
        <v>0</v>
      </c>
      <c r="Q81" s="321">
        <f t="shared" si="71"/>
        <v>0</v>
      </c>
      <c r="R81" s="321">
        <f t="shared" si="71"/>
        <v>0</v>
      </c>
      <c r="S81" s="322">
        <f t="shared" si="71"/>
        <v>0</v>
      </c>
      <c r="T81" s="323">
        <f>U81+V81+W81+X81</f>
        <v>1396</v>
      </c>
      <c r="U81" s="324">
        <f t="shared" ref="U81:X82" si="72">U83+U85+U87+U89+U91+U93</f>
        <v>1396</v>
      </c>
      <c r="V81" s="325">
        <f t="shared" si="72"/>
        <v>0</v>
      </c>
      <c r="W81" s="325">
        <f t="shared" si="72"/>
        <v>0</v>
      </c>
      <c r="X81" s="326">
        <f t="shared" si="72"/>
        <v>0</v>
      </c>
      <c r="Y81" s="327">
        <f>Z81+AA81+AB81+AC81</f>
        <v>8127</v>
      </c>
      <c r="Z81" s="328">
        <f>Z83+Z85+Z87+Z89+Z91+Z93</f>
        <v>8127</v>
      </c>
      <c r="AA81" s="329">
        <f t="shared" ref="AA81:AC82" si="73">AA83+AA85+AA87+AA89+AA91+AA93</f>
        <v>0</v>
      </c>
      <c r="AB81" s="329">
        <f t="shared" si="73"/>
        <v>0</v>
      </c>
      <c r="AC81" s="330">
        <f t="shared" si="73"/>
        <v>0</v>
      </c>
    </row>
    <row r="82" spans="1:29" s="253" customFormat="1" hidden="1" x14ac:dyDescent="0.2">
      <c r="A82" s="1313"/>
      <c r="B82" s="1276"/>
      <c r="C82" s="1276"/>
      <c r="D82" s="1276"/>
      <c r="E82" s="1278"/>
      <c r="F82" s="1325"/>
      <c r="G82" s="1319"/>
      <c r="H82" s="1317"/>
      <c r="I82" s="331" t="s">
        <v>73</v>
      </c>
      <c r="J82" s="332">
        <f>K82+L82+M82+N82</f>
        <v>9523</v>
      </c>
      <c r="K82" s="333">
        <f t="shared" si="70"/>
        <v>3384</v>
      </c>
      <c r="L82" s="334">
        <f t="shared" si="70"/>
        <v>2124</v>
      </c>
      <c r="M82" s="334">
        <f t="shared" si="70"/>
        <v>2074</v>
      </c>
      <c r="N82" s="335">
        <f t="shared" si="70"/>
        <v>1941</v>
      </c>
      <c r="O82" s="336">
        <f>P82+Q82+R82+S82</f>
        <v>0</v>
      </c>
      <c r="P82" s="337">
        <f t="shared" si="71"/>
        <v>0</v>
      </c>
      <c r="Q82" s="338">
        <f t="shared" si="71"/>
        <v>0</v>
      </c>
      <c r="R82" s="338">
        <f t="shared" si="71"/>
        <v>0</v>
      </c>
      <c r="S82" s="339">
        <f t="shared" si="71"/>
        <v>0</v>
      </c>
      <c r="T82" s="340">
        <f>U82+V82+W82+X82</f>
        <v>1396</v>
      </c>
      <c r="U82" s="341">
        <f t="shared" si="72"/>
        <v>514</v>
      </c>
      <c r="V82" s="342">
        <f t="shared" si="72"/>
        <v>314</v>
      </c>
      <c r="W82" s="342">
        <f t="shared" si="72"/>
        <v>314</v>
      </c>
      <c r="X82" s="343">
        <f t="shared" si="72"/>
        <v>254</v>
      </c>
      <c r="Y82" s="344">
        <f>Z82+AA82+AB82+AC82</f>
        <v>8127</v>
      </c>
      <c r="Z82" s="345">
        <f>Z84+Z86+Z88+Z90+Z92+Z94</f>
        <v>2870</v>
      </c>
      <c r="AA82" s="346">
        <f t="shared" si="73"/>
        <v>1810</v>
      </c>
      <c r="AB82" s="346">
        <f t="shared" si="73"/>
        <v>1760</v>
      </c>
      <c r="AC82" s="347">
        <f t="shared" si="73"/>
        <v>1687</v>
      </c>
    </row>
    <row r="83" spans="1:29" s="254" customFormat="1" hidden="1" x14ac:dyDescent="0.2">
      <c r="A83" s="1312"/>
      <c r="B83" s="1275"/>
      <c r="C83" s="1275"/>
      <c r="D83" s="1275"/>
      <c r="E83" s="1275"/>
      <c r="F83" s="1314" t="s">
        <v>74</v>
      </c>
      <c r="G83" s="1308" t="s">
        <v>140</v>
      </c>
      <c r="H83" s="1310" t="s">
        <v>141</v>
      </c>
      <c r="I83" s="279" t="s">
        <v>72</v>
      </c>
      <c r="J83" s="280">
        <f t="shared" ref="J83:N94" si="74">O83+T83+Y83</f>
        <v>650</v>
      </c>
      <c r="K83" s="281">
        <f t="shared" si="74"/>
        <v>650</v>
      </c>
      <c r="L83" s="282">
        <f t="shared" si="74"/>
        <v>0</v>
      </c>
      <c r="M83" s="282">
        <f t="shared" si="74"/>
        <v>0</v>
      </c>
      <c r="N83" s="283">
        <f t="shared" si="74"/>
        <v>0</v>
      </c>
      <c r="O83" s="284">
        <f t="shared" ref="O83:O120" si="75">P83+Q83+R83+S83</f>
        <v>0</v>
      </c>
      <c r="P83" s="281"/>
      <c r="Q83" s="282"/>
      <c r="R83" s="282"/>
      <c r="S83" s="285"/>
      <c r="T83" s="286">
        <f>U83+V83+W83+X83</f>
        <v>50</v>
      </c>
      <c r="U83" s="287">
        <f>150-100</f>
        <v>50</v>
      </c>
      <c r="V83" s="288"/>
      <c r="W83" s="288"/>
      <c r="X83" s="289"/>
      <c r="Y83" s="280">
        <f>Z83+AA83+AB83+AC83</f>
        <v>600</v>
      </c>
      <c r="Z83" s="281">
        <f>750-150</f>
        <v>600</v>
      </c>
      <c r="AA83" s="282"/>
      <c r="AB83" s="282"/>
      <c r="AC83" s="283"/>
    </row>
    <row r="84" spans="1:29" s="253" customFormat="1" hidden="1" x14ac:dyDescent="0.2">
      <c r="A84" s="1313"/>
      <c r="B84" s="1276"/>
      <c r="C84" s="1276"/>
      <c r="D84" s="1276"/>
      <c r="E84" s="1276"/>
      <c r="F84" s="1315"/>
      <c r="G84" s="1309"/>
      <c r="H84" s="1311"/>
      <c r="I84" s="290" t="s">
        <v>73</v>
      </c>
      <c r="J84" s="291">
        <f t="shared" si="74"/>
        <v>650</v>
      </c>
      <c r="K84" s="292">
        <f t="shared" si="74"/>
        <v>650</v>
      </c>
      <c r="L84" s="293">
        <f t="shared" si="74"/>
        <v>0</v>
      </c>
      <c r="M84" s="293">
        <f t="shared" si="74"/>
        <v>0</v>
      </c>
      <c r="N84" s="294">
        <f t="shared" si="74"/>
        <v>0</v>
      </c>
      <c r="O84" s="295">
        <f t="shared" si="75"/>
        <v>0</v>
      </c>
      <c r="P84" s="292"/>
      <c r="Q84" s="293"/>
      <c r="R84" s="293"/>
      <c r="S84" s="296"/>
      <c r="T84" s="297">
        <f t="shared" si="62"/>
        <v>50</v>
      </c>
      <c r="U84" s="298">
        <f>150-100</f>
        <v>50</v>
      </c>
      <c r="V84" s="299"/>
      <c r="W84" s="299"/>
      <c r="X84" s="300"/>
      <c r="Y84" s="291">
        <f t="shared" si="63"/>
        <v>600</v>
      </c>
      <c r="Z84" s="292">
        <f>750-150</f>
        <v>600</v>
      </c>
      <c r="AA84" s="293"/>
      <c r="AB84" s="293"/>
      <c r="AC84" s="294"/>
    </row>
    <row r="85" spans="1:29" s="254" customFormat="1" hidden="1" x14ac:dyDescent="0.2">
      <c r="A85" s="1312"/>
      <c r="B85" s="1275"/>
      <c r="C85" s="1275"/>
      <c r="D85" s="1275"/>
      <c r="E85" s="1275"/>
      <c r="F85" s="1314" t="s">
        <v>131</v>
      </c>
      <c r="G85" s="1308" t="s">
        <v>142</v>
      </c>
      <c r="H85" s="1310" t="s">
        <v>143</v>
      </c>
      <c r="I85" s="279" t="s">
        <v>72</v>
      </c>
      <c r="J85" s="280">
        <f t="shared" si="74"/>
        <v>105</v>
      </c>
      <c r="K85" s="281">
        <f t="shared" si="74"/>
        <v>105</v>
      </c>
      <c r="L85" s="282">
        <f t="shared" si="74"/>
        <v>0</v>
      </c>
      <c r="M85" s="282">
        <f t="shared" si="74"/>
        <v>0</v>
      </c>
      <c r="N85" s="283">
        <f t="shared" si="74"/>
        <v>0</v>
      </c>
      <c r="O85" s="284">
        <f t="shared" si="75"/>
        <v>0</v>
      </c>
      <c r="P85" s="281"/>
      <c r="Q85" s="282"/>
      <c r="R85" s="282"/>
      <c r="S85" s="285"/>
      <c r="T85" s="286">
        <f t="shared" si="62"/>
        <v>30</v>
      </c>
      <c r="U85" s="287">
        <f>50-20</f>
        <v>30</v>
      </c>
      <c r="V85" s="288"/>
      <c r="W85" s="288"/>
      <c r="X85" s="289"/>
      <c r="Y85" s="280">
        <f t="shared" si="63"/>
        <v>75</v>
      </c>
      <c r="Z85" s="281">
        <f>150-75</f>
        <v>75</v>
      </c>
      <c r="AA85" s="282"/>
      <c r="AB85" s="282"/>
      <c r="AC85" s="283"/>
    </row>
    <row r="86" spans="1:29" s="253" customFormat="1" hidden="1" x14ac:dyDescent="0.2">
      <c r="A86" s="1313"/>
      <c r="B86" s="1276"/>
      <c r="C86" s="1276"/>
      <c r="D86" s="1276"/>
      <c r="E86" s="1276"/>
      <c r="F86" s="1315"/>
      <c r="G86" s="1309"/>
      <c r="H86" s="1311"/>
      <c r="I86" s="290" t="s">
        <v>73</v>
      </c>
      <c r="J86" s="291">
        <f t="shared" si="74"/>
        <v>105</v>
      </c>
      <c r="K86" s="292">
        <f t="shared" si="74"/>
        <v>105</v>
      </c>
      <c r="L86" s="293">
        <f t="shared" si="74"/>
        <v>0</v>
      </c>
      <c r="M86" s="293">
        <f t="shared" si="74"/>
        <v>0</v>
      </c>
      <c r="N86" s="294">
        <f t="shared" si="74"/>
        <v>0</v>
      </c>
      <c r="O86" s="295">
        <f t="shared" si="75"/>
        <v>0</v>
      </c>
      <c r="P86" s="292"/>
      <c r="Q86" s="293"/>
      <c r="R86" s="293"/>
      <c r="S86" s="296"/>
      <c r="T86" s="297">
        <f t="shared" si="62"/>
        <v>30</v>
      </c>
      <c r="U86" s="298">
        <f>50-20</f>
        <v>30</v>
      </c>
      <c r="V86" s="299"/>
      <c r="W86" s="299"/>
      <c r="X86" s="300"/>
      <c r="Y86" s="291">
        <f t="shared" si="63"/>
        <v>75</v>
      </c>
      <c r="Z86" s="292">
        <f>150-75</f>
        <v>75</v>
      </c>
      <c r="AA86" s="293"/>
      <c r="AB86" s="293"/>
      <c r="AC86" s="294"/>
    </row>
    <row r="87" spans="1:29" s="254" customFormat="1" hidden="1" x14ac:dyDescent="0.2">
      <c r="A87" s="1312"/>
      <c r="B87" s="1275"/>
      <c r="C87" s="1275"/>
      <c r="D87" s="1275"/>
      <c r="E87" s="1275"/>
      <c r="F87" s="1314" t="s">
        <v>66</v>
      </c>
      <c r="G87" s="1308" t="s">
        <v>144</v>
      </c>
      <c r="H87" s="1310" t="s">
        <v>145</v>
      </c>
      <c r="I87" s="279" t="s">
        <v>72</v>
      </c>
      <c r="J87" s="280">
        <f t="shared" si="74"/>
        <v>240</v>
      </c>
      <c r="K87" s="281">
        <f t="shared" si="74"/>
        <v>240</v>
      </c>
      <c r="L87" s="282">
        <f t="shared" si="74"/>
        <v>0</v>
      </c>
      <c r="M87" s="282">
        <f t="shared" si="74"/>
        <v>0</v>
      </c>
      <c r="N87" s="283">
        <f t="shared" si="74"/>
        <v>0</v>
      </c>
      <c r="O87" s="284">
        <f t="shared" si="75"/>
        <v>0</v>
      </c>
      <c r="P87" s="281"/>
      <c r="Q87" s="282"/>
      <c r="R87" s="282"/>
      <c r="S87" s="285"/>
      <c r="T87" s="286">
        <f t="shared" si="62"/>
        <v>40</v>
      </c>
      <c r="U87" s="287">
        <f>100-60</f>
        <v>40</v>
      </c>
      <c r="V87" s="288"/>
      <c r="W87" s="288"/>
      <c r="X87" s="289"/>
      <c r="Y87" s="280">
        <f t="shared" si="63"/>
        <v>200</v>
      </c>
      <c r="Z87" s="281">
        <v>200</v>
      </c>
      <c r="AA87" s="282"/>
      <c r="AB87" s="282"/>
      <c r="AC87" s="283"/>
    </row>
    <row r="88" spans="1:29" s="351" customFormat="1" hidden="1" x14ac:dyDescent="0.2">
      <c r="A88" s="1313"/>
      <c r="B88" s="1276"/>
      <c r="C88" s="1276"/>
      <c r="D88" s="1276"/>
      <c r="E88" s="1276"/>
      <c r="F88" s="1315"/>
      <c r="G88" s="1309"/>
      <c r="H88" s="1311"/>
      <c r="I88" s="290" t="s">
        <v>73</v>
      </c>
      <c r="J88" s="291">
        <f t="shared" si="74"/>
        <v>240</v>
      </c>
      <c r="K88" s="292">
        <f t="shared" si="74"/>
        <v>240</v>
      </c>
      <c r="L88" s="293">
        <f t="shared" si="74"/>
        <v>0</v>
      </c>
      <c r="M88" s="293">
        <f t="shared" si="74"/>
        <v>0</v>
      </c>
      <c r="N88" s="294">
        <f t="shared" si="74"/>
        <v>0</v>
      </c>
      <c r="O88" s="295">
        <f t="shared" si="75"/>
        <v>0</v>
      </c>
      <c r="P88" s="292"/>
      <c r="Q88" s="293"/>
      <c r="R88" s="293"/>
      <c r="S88" s="296"/>
      <c r="T88" s="297">
        <f t="shared" si="62"/>
        <v>40</v>
      </c>
      <c r="U88" s="298">
        <f>100-60</f>
        <v>40</v>
      </c>
      <c r="V88" s="299"/>
      <c r="W88" s="299"/>
      <c r="X88" s="300"/>
      <c r="Y88" s="291">
        <f t="shared" si="63"/>
        <v>200</v>
      </c>
      <c r="Z88" s="292">
        <v>200</v>
      </c>
      <c r="AA88" s="293"/>
      <c r="AB88" s="293"/>
      <c r="AC88" s="294"/>
    </row>
    <row r="89" spans="1:29" s="355" customFormat="1" ht="15" hidden="1" customHeight="1" x14ac:dyDescent="0.2">
      <c r="A89" s="1312"/>
      <c r="B89" s="1275"/>
      <c r="C89" s="1275"/>
      <c r="D89" s="1275"/>
      <c r="E89" s="1275"/>
      <c r="F89" s="1314" t="s">
        <v>146</v>
      </c>
      <c r="G89" s="1308" t="s">
        <v>147</v>
      </c>
      <c r="H89" s="1310" t="s">
        <v>148</v>
      </c>
      <c r="I89" s="279" t="s">
        <v>72</v>
      </c>
      <c r="J89" s="280">
        <f t="shared" si="74"/>
        <v>105</v>
      </c>
      <c r="K89" s="281">
        <f t="shared" si="74"/>
        <v>105</v>
      </c>
      <c r="L89" s="282">
        <f t="shared" si="74"/>
        <v>0</v>
      </c>
      <c r="M89" s="282">
        <f t="shared" si="74"/>
        <v>0</v>
      </c>
      <c r="N89" s="283">
        <f t="shared" si="74"/>
        <v>0</v>
      </c>
      <c r="O89" s="284">
        <f t="shared" si="75"/>
        <v>0</v>
      </c>
      <c r="P89" s="281"/>
      <c r="Q89" s="282"/>
      <c r="R89" s="282"/>
      <c r="S89" s="285"/>
      <c r="T89" s="280">
        <f t="shared" si="62"/>
        <v>30</v>
      </c>
      <c r="U89" s="352">
        <f>50-20</f>
        <v>30</v>
      </c>
      <c r="V89" s="353"/>
      <c r="W89" s="353"/>
      <c r="X89" s="354"/>
      <c r="Y89" s="284">
        <f t="shared" si="63"/>
        <v>75</v>
      </c>
      <c r="Z89" s="281">
        <f>100-25</f>
        <v>75</v>
      </c>
      <c r="AA89" s="282"/>
      <c r="AB89" s="282"/>
      <c r="AC89" s="283"/>
    </row>
    <row r="90" spans="1:29" s="359" customFormat="1" hidden="1" x14ac:dyDescent="0.15">
      <c r="A90" s="1313"/>
      <c r="B90" s="1276"/>
      <c r="C90" s="1276"/>
      <c r="D90" s="1276"/>
      <c r="E90" s="1276"/>
      <c r="F90" s="1315"/>
      <c r="G90" s="1309"/>
      <c r="H90" s="1311"/>
      <c r="I90" s="290" t="s">
        <v>73</v>
      </c>
      <c r="J90" s="291">
        <f t="shared" si="74"/>
        <v>105</v>
      </c>
      <c r="K90" s="292">
        <f t="shared" si="74"/>
        <v>105</v>
      </c>
      <c r="L90" s="293">
        <f t="shared" si="74"/>
        <v>0</v>
      </c>
      <c r="M90" s="293">
        <f t="shared" si="74"/>
        <v>0</v>
      </c>
      <c r="N90" s="294">
        <f t="shared" si="74"/>
        <v>0</v>
      </c>
      <c r="O90" s="295">
        <f t="shared" si="75"/>
        <v>0</v>
      </c>
      <c r="P90" s="292"/>
      <c r="Q90" s="293"/>
      <c r="R90" s="293"/>
      <c r="S90" s="296"/>
      <c r="T90" s="291">
        <f t="shared" si="62"/>
        <v>30</v>
      </c>
      <c r="U90" s="356">
        <f>50-20</f>
        <v>30</v>
      </c>
      <c r="V90" s="357"/>
      <c r="W90" s="357"/>
      <c r="X90" s="358"/>
      <c r="Y90" s="295">
        <f t="shared" si="63"/>
        <v>75</v>
      </c>
      <c r="Z90" s="292">
        <f>100-25</f>
        <v>75</v>
      </c>
      <c r="AA90" s="293"/>
      <c r="AB90" s="293"/>
      <c r="AC90" s="294"/>
    </row>
    <row r="91" spans="1:29" s="371" customFormat="1" hidden="1" x14ac:dyDescent="0.2">
      <c r="A91" s="1312"/>
      <c r="B91" s="1275"/>
      <c r="C91" s="1275"/>
      <c r="D91" s="1275"/>
      <c r="E91" s="1275"/>
      <c r="F91" s="1314" t="s">
        <v>107</v>
      </c>
      <c r="G91" s="1308" t="s">
        <v>149</v>
      </c>
      <c r="H91" s="1310" t="s">
        <v>150</v>
      </c>
      <c r="I91" s="360" t="s">
        <v>72</v>
      </c>
      <c r="J91" s="361">
        <f t="shared" si="74"/>
        <v>130</v>
      </c>
      <c r="K91" s="362">
        <f t="shared" si="74"/>
        <v>130</v>
      </c>
      <c r="L91" s="363">
        <f t="shared" si="74"/>
        <v>0</v>
      </c>
      <c r="M91" s="363">
        <f t="shared" si="74"/>
        <v>0</v>
      </c>
      <c r="N91" s="364">
        <f t="shared" si="74"/>
        <v>0</v>
      </c>
      <c r="O91" s="365">
        <f t="shared" si="75"/>
        <v>0</v>
      </c>
      <c r="P91" s="362"/>
      <c r="Q91" s="363"/>
      <c r="R91" s="363"/>
      <c r="S91" s="366"/>
      <c r="T91" s="367">
        <f t="shared" si="62"/>
        <v>30</v>
      </c>
      <c r="U91" s="368">
        <f>50-20</f>
        <v>30</v>
      </c>
      <c r="V91" s="369"/>
      <c r="W91" s="369"/>
      <c r="X91" s="370"/>
      <c r="Y91" s="365">
        <f t="shared" si="63"/>
        <v>100</v>
      </c>
      <c r="Z91" s="362">
        <v>100</v>
      </c>
      <c r="AA91" s="363"/>
      <c r="AB91" s="363"/>
      <c r="AC91" s="364"/>
    </row>
    <row r="92" spans="1:29" s="253" customFormat="1" hidden="1" x14ac:dyDescent="0.2">
      <c r="A92" s="1313"/>
      <c r="B92" s="1276"/>
      <c r="C92" s="1276"/>
      <c r="D92" s="1276"/>
      <c r="E92" s="1276"/>
      <c r="F92" s="1315"/>
      <c r="G92" s="1309"/>
      <c r="H92" s="1311"/>
      <c r="I92" s="372" t="s">
        <v>73</v>
      </c>
      <c r="J92" s="373">
        <f t="shared" si="74"/>
        <v>130</v>
      </c>
      <c r="K92" s="374">
        <f t="shared" si="74"/>
        <v>130</v>
      </c>
      <c r="L92" s="375">
        <f t="shared" si="74"/>
        <v>0</v>
      </c>
      <c r="M92" s="375">
        <f t="shared" si="74"/>
        <v>0</v>
      </c>
      <c r="N92" s="376">
        <f t="shared" si="74"/>
        <v>0</v>
      </c>
      <c r="O92" s="377">
        <f t="shared" si="75"/>
        <v>0</v>
      </c>
      <c r="P92" s="374"/>
      <c r="Q92" s="375"/>
      <c r="R92" s="375"/>
      <c r="S92" s="378"/>
      <c r="T92" s="379">
        <f t="shared" si="62"/>
        <v>30</v>
      </c>
      <c r="U92" s="380">
        <f>50-20</f>
        <v>30</v>
      </c>
      <c r="V92" s="381"/>
      <c r="W92" s="381"/>
      <c r="X92" s="382"/>
      <c r="Y92" s="377">
        <f t="shared" si="63"/>
        <v>100</v>
      </c>
      <c r="Z92" s="374">
        <v>100</v>
      </c>
      <c r="AA92" s="375"/>
      <c r="AB92" s="375"/>
      <c r="AC92" s="376"/>
    </row>
    <row r="93" spans="1:29" s="254" customFormat="1" hidden="1" x14ac:dyDescent="0.2">
      <c r="A93" s="1312"/>
      <c r="B93" s="1275"/>
      <c r="C93" s="1275"/>
      <c r="D93" s="1275"/>
      <c r="E93" s="1275"/>
      <c r="F93" s="1320" t="s">
        <v>110</v>
      </c>
      <c r="G93" s="1308" t="s">
        <v>151</v>
      </c>
      <c r="H93" s="1327" t="s">
        <v>152</v>
      </c>
      <c r="I93" s="360" t="s">
        <v>72</v>
      </c>
      <c r="J93" s="361">
        <f t="shared" si="74"/>
        <v>8293</v>
      </c>
      <c r="K93" s="362">
        <f t="shared" si="74"/>
        <v>8293</v>
      </c>
      <c r="L93" s="363">
        <f t="shared" si="74"/>
        <v>0</v>
      </c>
      <c r="M93" s="363">
        <f t="shared" si="74"/>
        <v>0</v>
      </c>
      <c r="N93" s="364">
        <f t="shared" si="74"/>
        <v>0</v>
      </c>
      <c r="O93" s="365">
        <f t="shared" si="75"/>
        <v>0</v>
      </c>
      <c r="P93" s="362"/>
      <c r="Q93" s="363"/>
      <c r="R93" s="363"/>
      <c r="S93" s="366"/>
      <c r="T93" s="367">
        <f t="shared" si="62"/>
        <v>1216</v>
      </c>
      <c r="U93" s="368">
        <f>1416-200</f>
        <v>1216</v>
      </c>
      <c r="V93" s="369"/>
      <c r="W93" s="369"/>
      <c r="X93" s="370"/>
      <c r="Y93" s="365">
        <f t="shared" si="63"/>
        <v>7077</v>
      </c>
      <c r="Z93" s="362">
        <f>8277-1000-200</f>
        <v>7077</v>
      </c>
      <c r="AA93" s="363"/>
      <c r="AB93" s="363"/>
      <c r="AC93" s="364"/>
    </row>
    <row r="94" spans="1:29" s="253" customFormat="1" ht="16" hidden="1" thickBot="1" x14ac:dyDescent="0.25">
      <c r="A94" s="1332"/>
      <c r="B94" s="1307"/>
      <c r="C94" s="1307"/>
      <c r="D94" s="1307"/>
      <c r="E94" s="1307"/>
      <c r="F94" s="1333"/>
      <c r="G94" s="1326"/>
      <c r="H94" s="1328"/>
      <c r="I94" s="384" t="s">
        <v>73</v>
      </c>
      <c r="J94" s="385">
        <f t="shared" si="74"/>
        <v>8293</v>
      </c>
      <c r="K94" s="386">
        <f t="shared" si="74"/>
        <v>2154</v>
      </c>
      <c r="L94" s="387">
        <f t="shared" si="74"/>
        <v>2124</v>
      </c>
      <c r="M94" s="387">
        <f t="shared" si="74"/>
        <v>2074</v>
      </c>
      <c r="N94" s="388">
        <f t="shared" si="74"/>
        <v>1941</v>
      </c>
      <c r="O94" s="389">
        <f t="shared" si="75"/>
        <v>0</v>
      </c>
      <c r="P94" s="386"/>
      <c r="Q94" s="387"/>
      <c r="R94" s="387"/>
      <c r="S94" s="390"/>
      <c r="T94" s="391">
        <f t="shared" si="62"/>
        <v>1216</v>
      </c>
      <c r="U94" s="392">
        <f>354-20</f>
        <v>334</v>
      </c>
      <c r="V94" s="393">
        <f>354-40</f>
        <v>314</v>
      </c>
      <c r="W94" s="393">
        <f>354-40</f>
        <v>314</v>
      </c>
      <c r="X94" s="394">
        <f>354-100</f>
        <v>254</v>
      </c>
      <c r="Y94" s="389">
        <f t="shared" si="63"/>
        <v>7077</v>
      </c>
      <c r="Z94" s="386">
        <f>2070-200-50</f>
        <v>1820</v>
      </c>
      <c r="AA94" s="387">
        <f>2070-200-60</f>
        <v>1810</v>
      </c>
      <c r="AB94" s="387">
        <f>2070-300-10</f>
        <v>1760</v>
      </c>
      <c r="AC94" s="388">
        <f>2067-300-80</f>
        <v>1687</v>
      </c>
    </row>
    <row r="95" spans="1:29" s="254" customFormat="1" hidden="1" x14ac:dyDescent="0.2">
      <c r="A95" s="1265"/>
      <c r="B95" s="1267"/>
      <c r="C95" s="1267"/>
      <c r="D95" s="1284" t="s">
        <v>79</v>
      </c>
      <c r="E95" s="1267"/>
      <c r="F95" s="1330"/>
      <c r="G95" s="1289" t="s">
        <v>80</v>
      </c>
      <c r="H95" s="1331" t="s">
        <v>79</v>
      </c>
      <c r="I95" s="147" t="s">
        <v>72</v>
      </c>
      <c r="J95" s="395">
        <f>K95+L95+M95+N95</f>
        <v>269339</v>
      </c>
      <c r="K95" s="396">
        <f>K97+K119+K121+K125+K131+K133+K135+K137+K139+K141</f>
        <v>269339</v>
      </c>
      <c r="L95" s="397">
        <f t="shared" ref="L95:N96" si="76">L97+L119+L121+L125+L131+L133+L135+L137+L139+L141</f>
        <v>0</v>
      </c>
      <c r="M95" s="397">
        <f t="shared" si="76"/>
        <v>0</v>
      </c>
      <c r="N95" s="398">
        <f t="shared" si="76"/>
        <v>0</v>
      </c>
      <c r="O95" s="399">
        <f t="shared" si="75"/>
        <v>0</v>
      </c>
      <c r="P95" s="400">
        <f>P97+P119+P121+P125+P131+P133+P135+P137+P139+P141</f>
        <v>0</v>
      </c>
      <c r="Q95" s="401">
        <f t="shared" ref="Q95:S96" si="77">Q97+Q119+Q121+Q125+Q131+Q133+Q135+Q137+Q139+Q141</f>
        <v>0</v>
      </c>
      <c r="R95" s="401">
        <f t="shared" si="77"/>
        <v>0</v>
      </c>
      <c r="S95" s="402">
        <f t="shared" si="77"/>
        <v>0</v>
      </c>
      <c r="T95" s="403">
        <f t="shared" si="62"/>
        <v>194239</v>
      </c>
      <c r="U95" s="404">
        <f>U97+U119+U121+U125+U131+U133+U135+U137+U139+U141</f>
        <v>194239</v>
      </c>
      <c r="V95" s="405">
        <f t="shared" ref="V95:X96" si="78">V97+V119+V121+V125+V131+V133+V135+V137+V139+V141</f>
        <v>0</v>
      </c>
      <c r="W95" s="405">
        <f t="shared" si="78"/>
        <v>0</v>
      </c>
      <c r="X95" s="406">
        <f t="shared" si="78"/>
        <v>0</v>
      </c>
      <c r="Y95" s="407">
        <f t="shared" si="63"/>
        <v>75100</v>
      </c>
      <c r="Z95" s="408">
        <f>Z97+Z119+Z121+Z125+Z131+Z133+Z135+Z137+Z139+Z141</f>
        <v>75100</v>
      </c>
      <c r="AA95" s="409">
        <f t="shared" ref="AA95:AC96" si="79">AA97+AA119+AA121+AA125+AA131+AA133+AA135+AA137+AA139+AA141</f>
        <v>0</v>
      </c>
      <c r="AB95" s="409">
        <f t="shared" si="79"/>
        <v>0</v>
      </c>
      <c r="AC95" s="410">
        <f t="shared" si="79"/>
        <v>0</v>
      </c>
    </row>
    <row r="96" spans="1:29" s="253" customFormat="1" hidden="1" x14ac:dyDescent="0.2">
      <c r="A96" s="1329"/>
      <c r="B96" s="1323"/>
      <c r="C96" s="1323"/>
      <c r="D96" s="1278"/>
      <c r="E96" s="1323"/>
      <c r="F96" s="1325"/>
      <c r="G96" s="1280"/>
      <c r="H96" s="1317"/>
      <c r="I96" s="411" t="s">
        <v>73</v>
      </c>
      <c r="J96" s="412">
        <f>K96+L96+M96+N96</f>
        <v>215924</v>
      </c>
      <c r="K96" s="413">
        <f>K98+K120+K122+K126+K132+K134+K136+K138+K140+K142</f>
        <v>76615</v>
      </c>
      <c r="L96" s="414">
        <f t="shared" si="76"/>
        <v>48423</v>
      </c>
      <c r="M96" s="414">
        <f t="shared" si="76"/>
        <v>45127</v>
      </c>
      <c r="N96" s="415">
        <f t="shared" si="76"/>
        <v>45759</v>
      </c>
      <c r="O96" s="416">
        <f t="shared" si="75"/>
        <v>0</v>
      </c>
      <c r="P96" s="417">
        <f>P98+P120+P122+P126+P132+P134+P136+P138+P140+P142</f>
        <v>0</v>
      </c>
      <c r="Q96" s="418">
        <f t="shared" si="77"/>
        <v>0</v>
      </c>
      <c r="R96" s="418">
        <f t="shared" si="77"/>
        <v>0</v>
      </c>
      <c r="S96" s="419">
        <f t="shared" si="77"/>
        <v>0</v>
      </c>
      <c r="T96" s="420">
        <f t="shared" si="62"/>
        <v>140824</v>
      </c>
      <c r="U96" s="421">
        <f>U98+U120+U122+U126+U132+U134+U136+U138+U140+U142</f>
        <v>48485</v>
      </c>
      <c r="V96" s="422">
        <f t="shared" si="78"/>
        <v>31015</v>
      </c>
      <c r="W96" s="422">
        <f t="shared" si="78"/>
        <v>30605</v>
      </c>
      <c r="X96" s="423">
        <f t="shared" si="78"/>
        <v>30719</v>
      </c>
      <c r="Y96" s="424">
        <f t="shared" si="63"/>
        <v>75100</v>
      </c>
      <c r="Z96" s="425">
        <f>Z98+Z120+Z122+Z126+Z132+Z134+Z136+Z138+Z140+Z142</f>
        <v>28130</v>
      </c>
      <c r="AA96" s="426">
        <f t="shared" si="79"/>
        <v>17408</v>
      </c>
      <c r="AB96" s="426">
        <f t="shared" si="79"/>
        <v>14522</v>
      </c>
      <c r="AC96" s="427">
        <f t="shared" si="79"/>
        <v>15040</v>
      </c>
    </row>
    <row r="97" spans="1:29" s="254" customFormat="1" hidden="1" x14ac:dyDescent="0.2">
      <c r="A97" s="1273"/>
      <c r="B97" s="1275"/>
      <c r="C97" s="1275"/>
      <c r="D97" s="1275"/>
      <c r="E97" s="1277" t="s">
        <v>74</v>
      </c>
      <c r="F97" s="1324"/>
      <c r="G97" s="1318" t="s">
        <v>153</v>
      </c>
      <c r="H97" s="1316" t="s">
        <v>154</v>
      </c>
      <c r="I97" s="199" t="s">
        <v>72</v>
      </c>
      <c r="J97" s="315">
        <f>K97+L97+M97+N97</f>
        <v>241894</v>
      </c>
      <c r="K97" s="316">
        <f t="shared" ref="K97:N98" si="80">K99+K101+K103+K105+K107+K109+K111+K113+K115+K117</f>
        <v>241894</v>
      </c>
      <c r="L97" s="317">
        <f t="shared" si="80"/>
        <v>0</v>
      </c>
      <c r="M97" s="317">
        <f t="shared" si="80"/>
        <v>0</v>
      </c>
      <c r="N97" s="318">
        <f t="shared" si="80"/>
        <v>0</v>
      </c>
      <c r="O97" s="319">
        <f t="shared" si="75"/>
        <v>0</v>
      </c>
      <c r="P97" s="320">
        <f t="shared" ref="P97:S98" si="81">P99+P101+P103+P105+P107+P109+P111+P113+P115+P117</f>
        <v>0</v>
      </c>
      <c r="Q97" s="321">
        <f t="shared" si="81"/>
        <v>0</v>
      </c>
      <c r="R97" s="321">
        <f t="shared" si="81"/>
        <v>0</v>
      </c>
      <c r="S97" s="322">
        <f t="shared" si="81"/>
        <v>0</v>
      </c>
      <c r="T97" s="323">
        <f t="shared" si="62"/>
        <v>189489</v>
      </c>
      <c r="U97" s="324">
        <f t="shared" ref="U97:X98" si="82">U99+U101+U103+U105+U107+U109+U111+U113+U115+U117</f>
        <v>189489</v>
      </c>
      <c r="V97" s="325">
        <f t="shared" si="82"/>
        <v>0</v>
      </c>
      <c r="W97" s="325">
        <f t="shared" si="82"/>
        <v>0</v>
      </c>
      <c r="X97" s="428">
        <f t="shared" si="82"/>
        <v>0</v>
      </c>
      <c r="Y97" s="429">
        <f t="shared" si="63"/>
        <v>52405</v>
      </c>
      <c r="Z97" s="328">
        <f t="shared" ref="Z97:AC98" si="83">Z99+Z101+Z103+Z105+Z107+Z109+Z111+Z113+Z115+Z117</f>
        <v>52405</v>
      </c>
      <c r="AA97" s="329">
        <f t="shared" si="83"/>
        <v>0</v>
      </c>
      <c r="AB97" s="329">
        <f t="shared" si="83"/>
        <v>0</v>
      </c>
      <c r="AC97" s="330">
        <f t="shared" si="83"/>
        <v>0</v>
      </c>
    </row>
    <row r="98" spans="1:29" s="253" customFormat="1" hidden="1" x14ac:dyDescent="0.2">
      <c r="A98" s="1274"/>
      <c r="B98" s="1276"/>
      <c r="C98" s="1276"/>
      <c r="D98" s="1276"/>
      <c r="E98" s="1278"/>
      <c r="F98" s="1325"/>
      <c r="G98" s="1319"/>
      <c r="H98" s="1317"/>
      <c r="I98" s="411" t="s">
        <v>73</v>
      </c>
      <c r="J98" s="412">
        <f>K98+L98+M98+N98</f>
        <v>188479</v>
      </c>
      <c r="K98" s="413">
        <f t="shared" si="80"/>
        <v>62720</v>
      </c>
      <c r="L98" s="414">
        <f t="shared" si="80"/>
        <v>42665</v>
      </c>
      <c r="M98" s="414">
        <f t="shared" si="80"/>
        <v>41435</v>
      </c>
      <c r="N98" s="415">
        <f t="shared" si="80"/>
        <v>41659</v>
      </c>
      <c r="O98" s="416">
        <f t="shared" si="75"/>
        <v>0</v>
      </c>
      <c r="P98" s="417">
        <f t="shared" si="81"/>
        <v>0</v>
      </c>
      <c r="Q98" s="418">
        <f t="shared" si="81"/>
        <v>0</v>
      </c>
      <c r="R98" s="418">
        <f t="shared" si="81"/>
        <v>0</v>
      </c>
      <c r="S98" s="419">
        <f t="shared" si="81"/>
        <v>0</v>
      </c>
      <c r="T98" s="420">
        <f t="shared" si="62"/>
        <v>136074</v>
      </c>
      <c r="U98" s="421">
        <f t="shared" si="82"/>
        <v>45685</v>
      </c>
      <c r="V98" s="422">
        <f t="shared" si="82"/>
        <v>30365</v>
      </c>
      <c r="W98" s="422">
        <f t="shared" si="82"/>
        <v>29955</v>
      </c>
      <c r="X98" s="423">
        <f t="shared" si="82"/>
        <v>30069</v>
      </c>
      <c r="Y98" s="424">
        <f t="shared" si="63"/>
        <v>52405</v>
      </c>
      <c r="Z98" s="425">
        <f t="shared" si="83"/>
        <v>17035</v>
      </c>
      <c r="AA98" s="426">
        <f t="shared" si="83"/>
        <v>12300</v>
      </c>
      <c r="AB98" s="426">
        <f t="shared" si="83"/>
        <v>11480</v>
      </c>
      <c r="AC98" s="427">
        <f t="shared" si="83"/>
        <v>11590</v>
      </c>
    </row>
    <row r="99" spans="1:29" s="254" customFormat="1" hidden="1" x14ac:dyDescent="0.2">
      <c r="A99" s="1312"/>
      <c r="B99" s="1275"/>
      <c r="C99" s="1275"/>
      <c r="D99" s="1275"/>
      <c r="E99" s="1275"/>
      <c r="F99" s="1314" t="s">
        <v>74</v>
      </c>
      <c r="G99" s="1308" t="s">
        <v>155</v>
      </c>
      <c r="H99" s="1310" t="s">
        <v>156</v>
      </c>
      <c r="I99" s="279" t="s">
        <v>72</v>
      </c>
      <c r="J99" s="280">
        <f t="shared" ref="J99:N114" si="84">O99+T99+Y99</f>
        <v>10000</v>
      </c>
      <c r="K99" s="281">
        <f t="shared" si="84"/>
        <v>10000</v>
      </c>
      <c r="L99" s="282">
        <f t="shared" si="84"/>
        <v>0</v>
      </c>
      <c r="M99" s="282">
        <f t="shared" si="84"/>
        <v>0</v>
      </c>
      <c r="N99" s="283">
        <f t="shared" si="84"/>
        <v>0</v>
      </c>
      <c r="O99" s="284">
        <f t="shared" si="75"/>
        <v>0</v>
      </c>
      <c r="P99" s="281"/>
      <c r="Q99" s="282"/>
      <c r="R99" s="282"/>
      <c r="S99" s="285"/>
      <c r="T99" s="286">
        <f t="shared" si="62"/>
        <v>3000</v>
      </c>
      <c r="U99" s="287">
        <f>4200-1200</f>
        <v>3000</v>
      </c>
      <c r="V99" s="288"/>
      <c r="W99" s="288"/>
      <c r="X99" s="430"/>
      <c r="Y99" s="284">
        <f t="shared" si="63"/>
        <v>7000</v>
      </c>
      <c r="Z99" s="281">
        <v>7000</v>
      </c>
      <c r="AA99" s="282"/>
      <c r="AB99" s="282"/>
      <c r="AC99" s="283"/>
    </row>
    <row r="100" spans="1:29" s="253" customFormat="1" hidden="1" x14ac:dyDescent="0.2">
      <c r="A100" s="1313"/>
      <c r="B100" s="1276"/>
      <c r="C100" s="1276"/>
      <c r="D100" s="1276"/>
      <c r="E100" s="1276"/>
      <c r="F100" s="1315"/>
      <c r="G100" s="1309"/>
      <c r="H100" s="1311"/>
      <c r="I100" s="290" t="s">
        <v>73</v>
      </c>
      <c r="J100" s="291">
        <f t="shared" si="84"/>
        <v>10000</v>
      </c>
      <c r="K100" s="292">
        <f t="shared" si="84"/>
        <v>2800</v>
      </c>
      <c r="L100" s="293">
        <f t="shared" si="84"/>
        <v>2600</v>
      </c>
      <c r="M100" s="293">
        <f t="shared" si="84"/>
        <v>2300</v>
      </c>
      <c r="N100" s="294">
        <f t="shared" si="84"/>
        <v>2300</v>
      </c>
      <c r="O100" s="295">
        <f t="shared" si="75"/>
        <v>0</v>
      </c>
      <c r="P100" s="292"/>
      <c r="Q100" s="293"/>
      <c r="R100" s="293"/>
      <c r="S100" s="296"/>
      <c r="T100" s="297">
        <f t="shared" si="62"/>
        <v>3000</v>
      </c>
      <c r="U100" s="298">
        <v>1050</v>
      </c>
      <c r="V100" s="299">
        <f>1050-200</f>
        <v>850</v>
      </c>
      <c r="W100" s="299">
        <f>1050-500</f>
        <v>550</v>
      </c>
      <c r="X100" s="431">
        <f>1050-500</f>
        <v>550</v>
      </c>
      <c r="Y100" s="295">
        <f t="shared" si="63"/>
        <v>7000</v>
      </c>
      <c r="Z100" s="292">
        <v>1750</v>
      </c>
      <c r="AA100" s="293">
        <v>1750</v>
      </c>
      <c r="AB100" s="293">
        <v>1750</v>
      </c>
      <c r="AC100" s="294">
        <v>1750</v>
      </c>
    </row>
    <row r="101" spans="1:29" s="254" customFormat="1" hidden="1" x14ac:dyDescent="0.2">
      <c r="A101" s="1312"/>
      <c r="B101" s="1275"/>
      <c r="C101" s="1275"/>
      <c r="D101" s="1275"/>
      <c r="E101" s="1275"/>
      <c r="F101" s="1314" t="s">
        <v>131</v>
      </c>
      <c r="G101" s="1308" t="s">
        <v>157</v>
      </c>
      <c r="H101" s="1310" t="s">
        <v>158</v>
      </c>
      <c r="I101" s="279" t="s">
        <v>72</v>
      </c>
      <c r="J101" s="280">
        <f t="shared" si="84"/>
        <v>450</v>
      </c>
      <c r="K101" s="281">
        <f t="shared" si="84"/>
        <v>450</v>
      </c>
      <c r="L101" s="282">
        <f t="shared" si="84"/>
        <v>0</v>
      </c>
      <c r="M101" s="282">
        <f t="shared" si="84"/>
        <v>0</v>
      </c>
      <c r="N101" s="283">
        <f t="shared" si="84"/>
        <v>0</v>
      </c>
      <c r="O101" s="284">
        <f t="shared" si="75"/>
        <v>0</v>
      </c>
      <c r="P101" s="281"/>
      <c r="Q101" s="282"/>
      <c r="R101" s="282"/>
      <c r="S101" s="285"/>
      <c r="T101" s="286">
        <f t="shared" si="62"/>
        <v>0</v>
      </c>
      <c r="U101" s="287"/>
      <c r="V101" s="288"/>
      <c r="W101" s="288"/>
      <c r="X101" s="430"/>
      <c r="Y101" s="284">
        <f t="shared" si="63"/>
        <v>450</v>
      </c>
      <c r="Z101" s="281">
        <f>100+350+500-500</f>
        <v>450</v>
      </c>
      <c r="AA101" s="282"/>
      <c r="AB101" s="282"/>
      <c r="AC101" s="283"/>
    </row>
    <row r="102" spans="1:29" s="253" customFormat="1" hidden="1" x14ac:dyDescent="0.2">
      <c r="A102" s="1313"/>
      <c r="B102" s="1276"/>
      <c r="C102" s="1276"/>
      <c r="D102" s="1276"/>
      <c r="E102" s="1276"/>
      <c r="F102" s="1315"/>
      <c r="G102" s="1309"/>
      <c r="H102" s="1311"/>
      <c r="I102" s="290" t="s">
        <v>73</v>
      </c>
      <c r="J102" s="291">
        <f t="shared" si="84"/>
        <v>450</v>
      </c>
      <c r="K102" s="292">
        <f t="shared" si="84"/>
        <v>250</v>
      </c>
      <c r="L102" s="293">
        <f t="shared" si="84"/>
        <v>200</v>
      </c>
      <c r="M102" s="293">
        <f t="shared" si="84"/>
        <v>0</v>
      </c>
      <c r="N102" s="294">
        <f t="shared" si="84"/>
        <v>0</v>
      </c>
      <c r="O102" s="295">
        <f t="shared" si="75"/>
        <v>0</v>
      </c>
      <c r="P102" s="292"/>
      <c r="Q102" s="293"/>
      <c r="R102" s="293"/>
      <c r="S102" s="296"/>
      <c r="T102" s="297">
        <f t="shared" si="62"/>
        <v>0</v>
      </c>
      <c r="U102" s="298"/>
      <c r="V102" s="299"/>
      <c r="W102" s="299"/>
      <c r="X102" s="431"/>
      <c r="Y102" s="295">
        <f t="shared" si="63"/>
        <v>450</v>
      </c>
      <c r="Z102" s="292">
        <f>100+350-200</f>
        <v>250</v>
      </c>
      <c r="AA102" s="293">
        <f>500-300</f>
        <v>200</v>
      </c>
      <c r="AB102" s="293"/>
      <c r="AC102" s="294"/>
    </row>
    <row r="103" spans="1:29" s="254" customFormat="1" hidden="1" x14ac:dyDescent="0.2">
      <c r="A103" s="1312"/>
      <c r="B103" s="1275"/>
      <c r="C103" s="1275"/>
      <c r="D103" s="1275"/>
      <c r="E103" s="1275"/>
      <c r="F103" s="1314" t="s">
        <v>66</v>
      </c>
      <c r="G103" s="1308" t="s">
        <v>159</v>
      </c>
      <c r="H103" s="1310" t="s">
        <v>160</v>
      </c>
      <c r="I103" s="279" t="s">
        <v>72</v>
      </c>
      <c r="J103" s="280">
        <f t="shared" si="84"/>
        <v>9000</v>
      </c>
      <c r="K103" s="281">
        <f t="shared" si="84"/>
        <v>9000</v>
      </c>
      <c r="L103" s="282">
        <f t="shared" si="84"/>
        <v>0</v>
      </c>
      <c r="M103" s="282">
        <f t="shared" si="84"/>
        <v>0</v>
      </c>
      <c r="N103" s="283">
        <f t="shared" si="84"/>
        <v>0</v>
      </c>
      <c r="O103" s="284">
        <f t="shared" si="75"/>
        <v>0</v>
      </c>
      <c r="P103" s="281"/>
      <c r="Q103" s="282"/>
      <c r="R103" s="282"/>
      <c r="S103" s="285"/>
      <c r="T103" s="286">
        <f t="shared" si="62"/>
        <v>0</v>
      </c>
      <c r="U103" s="287"/>
      <c r="V103" s="288"/>
      <c r="W103" s="288"/>
      <c r="X103" s="430"/>
      <c r="Y103" s="284">
        <f t="shared" si="63"/>
        <v>9000</v>
      </c>
      <c r="Z103" s="281">
        <f>10000-1000</f>
        <v>9000</v>
      </c>
      <c r="AA103" s="282"/>
      <c r="AB103" s="282"/>
      <c r="AC103" s="283"/>
    </row>
    <row r="104" spans="1:29" s="253" customFormat="1" hidden="1" x14ac:dyDescent="0.2">
      <c r="A104" s="1313"/>
      <c r="B104" s="1276"/>
      <c r="C104" s="1276"/>
      <c r="D104" s="1276"/>
      <c r="E104" s="1276"/>
      <c r="F104" s="1315"/>
      <c r="G104" s="1309"/>
      <c r="H104" s="1311"/>
      <c r="I104" s="290" t="s">
        <v>73</v>
      </c>
      <c r="J104" s="291">
        <f t="shared" si="84"/>
        <v>9000</v>
      </c>
      <c r="K104" s="292">
        <f t="shared" si="84"/>
        <v>4600</v>
      </c>
      <c r="L104" s="293">
        <f t="shared" si="84"/>
        <v>1800</v>
      </c>
      <c r="M104" s="293">
        <f t="shared" si="84"/>
        <v>1200</v>
      </c>
      <c r="N104" s="294">
        <f t="shared" si="84"/>
        <v>1400</v>
      </c>
      <c r="O104" s="295">
        <f t="shared" si="75"/>
        <v>0</v>
      </c>
      <c r="P104" s="292"/>
      <c r="Q104" s="293"/>
      <c r="R104" s="293"/>
      <c r="S104" s="296"/>
      <c r="T104" s="297">
        <f t="shared" si="62"/>
        <v>0</v>
      </c>
      <c r="U104" s="298"/>
      <c r="V104" s="299"/>
      <c r="W104" s="299"/>
      <c r="X104" s="431"/>
      <c r="Y104" s="295">
        <f t="shared" si="63"/>
        <v>9000</v>
      </c>
      <c r="Z104" s="292">
        <f>5000-400</f>
        <v>4600</v>
      </c>
      <c r="AA104" s="293">
        <f>2000-200</f>
        <v>1800</v>
      </c>
      <c r="AB104" s="293">
        <f>1500-300</f>
        <v>1200</v>
      </c>
      <c r="AC104" s="294">
        <f>1500-100</f>
        <v>1400</v>
      </c>
    </row>
    <row r="105" spans="1:29" s="254" customFormat="1" hidden="1" x14ac:dyDescent="0.2">
      <c r="A105" s="1312"/>
      <c r="B105" s="1275"/>
      <c r="C105" s="1275"/>
      <c r="D105" s="1275"/>
      <c r="E105" s="1275"/>
      <c r="F105" s="1314" t="s">
        <v>146</v>
      </c>
      <c r="G105" s="1308" t="s">
        <v>161</v>
      </c>
      <c r="H105" s="1310" t="s">
        <v>162</v>
      </c>
      <c r="I105" s="279" t="s">
        <v>72</v>
      </c>
      <c r="J105" s="280">
        <f t="shared" si="84"/>
        <v>950</v>
      </c>
      <c r="K105" s="281">
        <f t="shared" si="84"/>
        <v>950</v>
      </c>
      <c r="L105" s="282">
        <f t="shared" si="84"/>
        <v>0</v>
      </c>
      <c r="M105" s="282">
        <f t="shared" si="84"/>
        <v>0</v>
      </c>
      <c r="N105" s="283">
        <f t="shared" si="84"/>
        <v>0</v>
      </c>
      <c r="O105" s="284">
        <f t="shared" si="75"/>
        <v>0</v>
      </c>
      <c r="P105" s="281"/>
      <c r="Q105" s="282"/>
      <c r="R105" s="282"/>
      <c r="S105" s="285"/>
      <c r="T105" s="286">
        <f t="shared" si="62"/>
        <v>0</v>
      </c>
      <c r="U105" s="287"/>
      <c r="V105" s="288"/>
      <c r="W105" s="288"/>
      <c r="X105" s="430"/>
      <c r="Y105" s="284">
        <f t="shared" si="63"/>
        <v>950</v>
      </c>
      <c r="Z105" s="281">
        <f>1100-100-50</f>
        <v>950</v>
      </c>
      <c r="AA105" s="282"/>
      <c r="AB105" s="282">
        <f>50-50</f>
        <v>0</v>
      </c>
      <c r="AC105" s="283"/>
    </row>
    <row r="106" spans="1:29" s="253" customFormat="1" hidden="1" x14ac:dyDescent="0.2">
      <c r="A106" s="1313"/>
      <c r="B106" s="1276"/>
      <c r="C106" s="1276"/>
      <c r="D106" s="1276"/>
      <c r="E106" s="1276"/>
      <c r="F106" s="1315"/>
      <c r="G106" s="1309"/>
      <c r="H106" s="1311"/>
      <c r="I106" s="290" t="s">
        <v>73</v>
      </c>
      <c r="J106" s="291">
        <f t="shared" si="84"/>
        <v>950</v>
      </c>
      <c r="K106" s="292">
        <f t="shared" si="84"/>
        <v>275</v>
      </c>
      <c r="L106" s="293">
        <f t="shared" si="84"/>
        <v>265</v>
      </c>
      <c r="M106" s="293">
        <f t="shared" si="84"/>
        <v>205</v>
      </c>
      <c r="N106" s="294">
        <f t="shared" si="84"/>
        <v>205</v>
      </c>
      <c r="O106" s="295">
        <f t="shared" si="75"/>
        <v>0</v>
      </c>
      <c r="P106" s="292"/>
      <c r="Q106" s="293"/>
      <c r="R106" s="293"/>
      <c r="S106" s="296"/>
      <c r="T106" s="297">
        <f t="shared" si="62"/>
        <v>0</v>
      </c>
      <c r="U106" s="298"/>
      <c r="V106" s="299"/>
      <c r="W106" s="299"/>
      <c r="X106" s="431"/>
      <c r="Y106" s="295">
        <f t="shared" si="63"/>
        <v>950</v>
      </c>
      <c r="Z106" s="292">
        <v>275</v>
      </c>
      <c r="AA106" s="293">
        <f>275-10</f>
        <v>265</v>
      </c>
      <c r="AB106" s="293">
        <f>225+50-70</f>
        <v>205</v>
      </c>
      <c r="AC106" s="294">
        <f>225-20</f>
        <v>205</v>
      </c>
    </row>
    <row r="107" spans="1:29" s="254" customFormat="1" hidden="1" x14ac:dyDescent="0.2">
      <c r="A107" s="1312"/>
      <c r="B107" s="1275"/>
      <c r="C107" s="1275"/>
      <c r="D107" s="1275"/>
      <c r="E107" s="1275"/>
      <c r="F107" s="1314" t="s">
        <v>104</v>
      </c>
      <c r="G107" s="1308" t="s">
        <v>163</v>
      </c>
      <c r="H107" s="1310" t="s">
        <v>164</v>
      </c>
      <c r="I107" s="279" t="s">
        <v>72</v>
      </c>
      <c r="J107" s="280">
        <f t="shared" si="84"/>
        <v>2100</v>
      </c>
      <c r="K107" s="281">
        <f t="shared" si="84"/>
        <v>2100</v>
      </c>
      <c r="L107" s="282">
        <f t="shared" si="84"/>
        <v>0</v>
      </c>
      <c r="M107" s="282">
        <f t="shared" si="84"/>
        <v>0</v>
      </c>
      <c r="N107" s="283">
        <f t="shared" si="84"/>
        <v>0</v>
      </c>
      <c r="O107" s="284">
        <f t="shared" si="75"/>
        <v>0</v>
      </c>
      <c r="P107" s="281"/>
      <c r="Q107" s="282"/>
      <c r="R107" s="282"/>
      <c r="S107" s="285"/>
      <c r="T107" s="286">
        <f t="shared" si="62"/>
        <v>600</v>
      </c>
      <c r="U107" s="287">
        <f>1500-500-400</f>
        <v>600</v>
      </c>
      <c r="V107" s="288"/>
      <c r="W107" s="288"/>
      <c r="X107" s="430"/>
      <c r="Y107" s="284">
        <f t="shared" si="63"/>
        <v>1500</v>
      </c>
      <c r="Z107" s="281">
        <f>2000-500</f>
        <v>1500</v>
      </c>
      <c r="AA107" s="282"/>
      <c r="AB107" s="282"/>
      <c r="AC107" s="283"/>
    </row>
    <row r="108" spans="1:29" s="253" customFormat="1" hidden="1" x14ac:dyDescent="0.2">
      <c r="A108" s="1313"/>
      <c r="B108" s="1276"/>
      <c r="C108" s="1276"/>
      <c r="D108" s="1276"/>
      <c r="E108" s="1276"/>
      <c r="F108" s="1315"/>
      <c r="G108" s="1309"/>
      <c r="H108" s="1311"/>
      <c r="I108" s="290" t="s">
        <v>73</v>
      </c>
      <c r="J108" s="291">
        <f t="shared" si="84"/>
        <v>2100</v>
      </c>
      <c r="K108" s="292">
        <f t="shared" si="84"/>
        <v>530</v>
      </c>
      <c r="L108" s="293">
        <f t="shared" si="84"/>
        <v>450</v>
      </c>
      <c r="M108" s="293">
        <f t="shared" si="84"/>
        <v>470</v>
      </c>
      <c r="N108" s="294">
        <f t="shared" si="84"/>
        <v>650</v>
      </c>
      <c r="O108" s="295">
        <f t="shared" si="75"/>
        <v>0</v>
      </c>
      <c r="P108" s="292"/>
      <c r="Q108" s="293"/>
      <c r="R108" s="293"/>
      <c r="S108" s="296"/>
      <c r="T108" s="297">
        <f t="shared" si="62"/>
        <v>600</v>
      </c>
      <c r="U108" s="298">
        <f>300-140</f>
        <v>160</v>
      </c>
      <c r="V108" s="299">
        <f>300-180</f>
        <v>120</v>
      </c>
      <c r="W108" s="299">
        <f>200-80</f>
        <v>120</v>
      </c>
      <c r="X108" s="431">
        <v>200</v>
      </c>
      <c r="Y108" s="295">
        <f t="shared" si="63"/>
        <v>1500</v>
      </c>
      <c r="Z108" s="292">
        <f>500-130</f>
        <v>370</v>
      </c>
      <c r="AA108" s="293">
        <f>500-170</f>
        <v>330</v>
      </c>
      <c r="AB108" s="293">
        <f>500-150</f>
        <v>350</v>
      </c>
      <c r="AC108" s="293">
        <f>500-50</f>
        <v>450</v>
      </c>
    </row>
    <row r="109" spans="1:29" s="254" customFormat="1" hidden="1" x14ac:dyDescent="0.2">
      <c r="A109" s="1312"/>
      <c r="B109" s="1275"/>
      <c r="C109" s="1275"/>
      <c r="D109" s="1275"/>
      <c r="E109" s="1275"/>
      <c r="F109" s="1314" t="s">
        <v>107</v>
      </c>
      <c r="G109" s="1308" t="s">
        <v>165</v>
      </c>
      <c r="H109" s="1310" t="s">
        <v>166</v>
      </c>
      <c r="I109" s="279" t="s">
        <v>72</v>
      </c>
      <c r="J109" s="280">
        <f t="shared" si="84"/>
        <v>600</v>
      </c>
      <c r="K109" s="281">
        <f t="shared" si="84"/>
        <v>600</v>
      </c>
      <c r="L109" s="282">
        <f t="shared" si="84"/>
        <v>0</v>
      </c>
      <c r="M109" s="282">
        <f t="shared" si="84"/>
        <v>0</v>
      </c>
      <c r="N109" s="283">
        <f t="shared" si="84"/>
        <v>0</v>
      </c>
      <c r="O109" s="284">
        <f t="shared" si="75"/>
        <v>0</v>
      </c>
      <c r="P109" s="281"/>
      <c r="Q109" s="282"/>
      <c r="R109" s="282"/>
      <c r="S109" s="285"/>
      <c r="T109" s="286">
        <f t="shared" si="62"/>
        <v>100</v>
      </c>
      <c r="U109" s="287">
        <f>500-400</f>
        <v>100</v>
      </c>
      <c r="V109" s="288"/>
      <c r="W109" s="288"/>
      <c r="X109" s="430"/>
      <c r="Y109" s="284">
        <f t="shared" si="63"/>
        <v>500</v>
      </c>
      <c r="Z109" s="281">
        <v>500</v>
      </c>
      <c r="AA109" s="282"/>
      <c r="AB109" s="282"/>
      <c r="AC109" s="283"/>
    </row>
    <row r="110" spans="1:29" s="253" customFormat="1" hidden="1" x14ac:dyDescent="0.2">
      <c r="A110" s="1313"/>
      <c r="B110" s="1276"/>
      <c r="C110" s="1276"/>
      <c r="D110" s="1276"/>
      <c r="E110" s="1276"/>
      <c r="F110" s="1315"/>
      <c r="G110" s="1309"/>
      <c r="H110" s="1311"/>
      <c r="I110" s="290" t="s">
        <v>73</v>
      </c>
      <c r="J110" s="291">
        <f t="shared" si="84"/>
        <v>600</v>
      </c>
      <c r="K110" s="292">
        <f t="shared" si="84"/>
        <v>150</v>
      </c>
      <c r="L110" s="293">
        <f t="shared" si="84"/>
        <v>150</v>
      </c>
      <c r="M110" s="293">
        <f t="shared" si="84"/>
        <v>150</v>
      </c>
      <c r="N110" s="294">
        <f t="shared" si="84"/>
        <v>150</v>
      </c>
      <c r="O110" s="295">
        <f t="shared" si="75"/>
        <v>0</v>
      </c>
      <c r="P110" s="292"/>
      <c r="Q110" s="293"/>
      <c r="R110" s="293"/>
      <c r="S110" s="296"/>
      <c r="T110" s="297">
        <f t="shared" si="62"/>
        <v>100</v>
      </c>
      <c r="U110" s="298">
        <f>125-100</f>
        <v>25</v>
      </c>
      <c r="V110" s="299">
        <f t="shared" ref="V110:X110" si="85">125-100</f>
        <v>25</v>
      </c>
      <c r="W110" s="299">
        <f t="shared" si="85"/>
        <v>25</v>
      </c>
      <c r="X110" s="431">
        <f t="shared" si="85"/>
        <v>25</v>
      </c>
      <c r="Y110" s="295">
        <f t="shared" si="63"/>
        <v>500</v>
      </c>
      <c r="Z110" s="292">
        <v>125</v>
      </c>
      <c r="AA110" s="293">
        <v>125</v>
      </c>
      <c r="AB110" s="293">
        <v>125</v>
      </c>
      <c r="AC110" s="294">
        <v>125</v>
      </c>
    </row>
    <row r="111" spans="1:29" s="254" customFormat="1" hidden="1" x14ac:dyDescent="0.2">
      <c r="A111" s="1312"/>
      <c r="B111" s="1275"/>
      <c r="C111" s="1275"/>
      <c r="D111" s="1275"/>
      <c r="E111" s="1275"/>
      <c r="F111" s="1314" t="s">
        <v>110</v>
      </c>
      <c r="G111" s="1308" t="s">
        <v>167</v>
      </c>
      <c r="H111" s="1310" t="s">
        <v>168</v>
      </c>
      <c r="I111" s="279" t="s">
        <v>72</v>
      </c>
      <c r="J111" s="280">
        <f t="shared" si="84"/>
        <v>5</v>
      </c>
      <c r="K111" s="281">
        <f t="shared" si="84"/>
        <v>5</v>
      </c>
      <c r="L111" s="282">
        <f t="shared" si="84"/>
        <v>0</v>
      </c>
      <c r="M111" s="282">
        <f t="shared" si="84"/>
        <v>0</v>
      </c>
      <c r="N111" s="283">
        <f t="shared" si="84"/>
        <v>0</v>
      </c>
      <c r="O111" s="284">
        <f t="shared" si="75"/>
        <v>0</v>
      </c>
      <c r="P111" s="281"/>
      <c r="Q111" s="282"/>
      <c r="R111" s="282"/>
      <c r="S111" s="285"/>
      <c r="T111" s="286">
        <f t="shared" si="62"/>
        <v>0</v>
      </c>
      <c r="U111" s="287">
        <f>100-100</f>
        <v>0</v>
      </c>
      <c r="V111" s="288"/>
      <c r="W111" s="288"/>
      <c r="X111" s="430"/>
      <c r="Y111" s="284">
        <f t="shared" si="63"/>
        <v>5</v>
      </c>
      <c r="Z111" s="281">
        <f>100-95</f>
        <v>5</v>
      </c>
      <c r="AA111" s="282"/>
      <c r="AB111" s="282"/>
      <c r="AC111" s="283"/>
    </row>
    <row r="112" spans="1:29" s="253" customFormat="1" hidden="1" x14ac:dyDescent="0.2">
      <c r="A112" s="1313"/>
      <c r="B112" s="1276"/>
      <c r="C112" s="1276"/>
      <c r="D112" s="1276"/>
      <c r="E112" s="1276"/>
      <c r="F112" s="1315"/>
      <c r="G112" s="1309"/>
      <c r="H112" s="1311"/>
      <c r="I112" s="290" t="s">
        <v>73</v>
      </c>
      <c r="J112" s="291">
        <f t="shared" si="84"/>
        <v>5</v>
      </c>
      <c r="K112" s="292">
        <f t="shared" si="84"/>
        <v>5</v>
      </c>
      <c r="L112" s="293">
        <f t="shared" si="84"/>
        <v>0</v>
      </c>
      <c r="M112" s="293">
        <f t="shared" si="84"/>
        <v>0</v>
      </c>
      <c r="N112" s="294">
        <f t="shared" si="84"/>
        <v>0</v>
      </c>
      <c r="O112" s="295">
        <f t="shared" si="75"/>
        <v>0</v>
      </c>
      <c r="P112" s="292"/>
      <c r="Q112" s="293"/>
      <c r="R112" s="293"/>
      <c r="S112" s="296"/>
      <c r="T112" s="297">
        <f t="shared" si="62"/>
        <v>0</v>
      </c>
      <c r="U112" s="298">
        <f>100-100</f>
        <v>0</v>
      </c>
      <c r="V112" s="299"/>
      <c r="W112" s="299"/>
      <c r="X112" s="431"/>
      <c r="Y112" s="295">
        <f t="shared" si="63"/>
        <v>5</v>
      </c>
      <c r="Z112" s="292">
        <f>100-95</f>
        <v>5</v>
      </c>
      <c r="AA112" s="293"/>
      <c r="AB112" s="293"/>
      <c r="AC112" s="294"/>
    </row>
    <row r="113" spans="1:29" s="254" customFormat="1" hidden="1" x14ac:dyDescent="0.2">
      <c r="A113" s="1312"/>
      <c r="B113" s="1275"/>
      <c r="C113" s="1275"/>
      <c r="D113" s="1275"/>
      <c r="E113" s="1275"/>
      <c r="F113" s="1314" t="s">
        <v>46</v>
      </c>
      <c r="G113" s="1308" t="s">
        <v>169</v>
      </c>
      <c r="H113" s="1310" t="s">
        <v>170</v>
      </c>
      <c r="I113" s="279" t="s">
        <v>72</v>
      </c>
      <c r="J113" s="280">
        <f t="shared" si="84"/>
        <v>8660</v>
      </c>
      <c r="K113" s="281">
        <f t="shared" si="84"/>
        <v>8660</v>
      </c>
      <c r="L113" s="282">
        <f t="shared" si="84"/>
        <v>0</v>
      </c>
      <c r="M113" s="282">
        <f t="shared" si="84"/>
        <v>0</v>
      </c>
      <c r="N113" s="283">
        <f t="shared" si="84"/>
        <v>0</v>
      </c>
      <c r="O113" s="284">
        <f t="shared" si="75"/>
        <v>0</v>
      </c>
      <c r="P113" s="281"/>
      <c r="Q113" s="282"/>
      <c r="R113" s="282"/>
      <c r="S113" s="285"/>
      <c r="T113" s="286">
        <f t="shared" si="62"/>
        <v>660</v>
      </c>
      <c r="U113" s="287">
        <f>860-200</f>
        <v>660</v>
      </c>
      <c r="V113" s="288"/>
      <c r="W113" s="288"/>
      <c r="X113" s="430"/>
      <c r="Y113" s="284">
        <f t="shared" si="63"/>
        <v>8000</v>
      </c>
      <c r="Z113" s="281">
        <v>8000</v>
      </c>
      <c r="AA113" s="282"/>
      <c r="AB113" s="282">
        <f>1000-1000</f>
        <v>0</v>
      </c>
      <c r="AC113" s="283"/>
    </row>
    <row r="114" spans="1:29" s="253" customFormat="1" hidden="1" x14ac:dyDescent="0.2">
      <c r="A114" s="1313"/>
      <c r="B114" s="1276"/>
      <c r="C114" s="1276"/>
      <c r="D114" s="1276"/>
      <c r="E114" s="1276"/>
      <c r="F114" s="1315"/>
      <c r="G114" s="1309"/>
      <c r="H114" s="1311"/>
      <c r="I114" s="290" t="s">
        <v>73</v>
      </c>
      <c r="J114" s="291">
        <f t="shared" si="84"/>
        <v>8660</v>
      </c>
      <c r="K114" s="292">
        <f t="shared" si="84"/>
        <v>2250</v>
      </c>
      <c r="L114" s="293">
        <f t="shared" si="84"/>
        <v>2210</v>
      </c>
      <c r="M114" s="293">
        <f t="shared" si="84"/>
        <v>2210</v>
      </c>
      <c r="N114" s="294">
        <f t="shared" si="84"/>
        <v>1990</v>
      </c>
      <c r="O114" s="295">
        <f t="shared" si="75"/>
        <v>0</v>
      </c>
      <c r="P114" s="292"/>
      <c r="Q114" s="293"/>
      <c r="R114" s="293"/>
      <c r="S114" s="296"/>
      <c r="T114" s="297">
        <f t="shared" si="62"/>
        <v>660</v>
      </c>
      <c r="U114" s="298">
        <v>250</v>
      </c>
      <c r="V114" s="299">
        <v>210</v>
      </c>
      <c r="W114" s="299">
        <f>200-90</f>
        <v>110</v>
      </c>
      <c r="X114" s="299">
        <f>200-110</f>
        <v>90</v>
      </c>
      <c r="Y114" s="295">
        <f t="shared" si="63"/>
        <v>8000</v>
      </c>
      <c r="Z114" s="292">
        <v>2000</v>
      </c>
      <c r="AA114" s="293">
        <v>2000</v>
      </c>
      <c r="AB114" s="293">
        <f>2000+1000-950+50</f>
        <v>2100</v>
      </c>
      <c r="AC114" s="293">
        <f>2000-50-50</f>
        <v>1900</v>
      </c>
    </row>
    <row r="115" spans="1:29" s="254" customFormat="1" hidden="1" x14ac:dyDescent="0.2">
      <c r="A115" s="1312"/>
      <c r="B115" s="1275"/>
      <c r="C115" s="1275"/>
      <c r="D115" s="1275"/>
      <c r="E115" s="1275"/>
      <c r="F115" s="1314" t="s">
        <v>58</v>
      </c>
      <c r="G115" s="1308" t="s">
        <v>171</v>
      </c>
      <c r="H115" s="1310" t="s">
        <v>172</v>
      </c>
      <c r="I115" s="279" t="s">
        <v>72</v>
      </c>
      <c r="J115" s="280">
        <f t="shared" ref="J115:N120" si="86">O115+T115+Y115</f>
        <v>190469</v>
      </c>
      <c r="K115" s="281">
        <f t="shared" si="86"/>
        <v>190469</v>
      </c>
      <c r="L115" s="282">
        <f t="shared" si="86"/>
        <v>0</v>
      </c>
      <c r="M115" s="282">
        <f t="shared" si="86"/>
        <v>0</v>
      </c>
      <c r="N115" s="283">
        <f t="shared" si="86"/>
        <v>0</v>
      </c>
      <c r="O115" s="284">
        <f t="shared" si="75"/>
        <v>0</v>
      </c>
      <c r="P115" s="281"/>
      <c r="Q115" s="282"/>
      <c r="R115" s="293"/>
      <c r="S115" s="285"/>
      <c r="T115" s="286">
        <f>U115+V115+W115+X115</f>
        <v>184469</v>
      </c>
      <c r="U115" s="287">
        <f>299544-115075</f>
        <v>184469</v>
      </c>
      <c r="V115" s="288"/>
      <c r="W115" s="288">
        <f>48159-48159</f>
        <v>0</v>
      </c>
      <c r="X115" s="430">
        <f>48159-48159</f>
        <v>0</v>
      </c>
      <c r="Y115" s="284">
        <f t="shared" si="63"/>
        <v>6000</v>
      </c>
      <c r="Z115" s="281">
        <f>11000-5000</f>
        <v>6000</v>
      </c>
      <c r="AA115" s="282"/>
      <c r="AB115" s="282"/>
      <c r="AC115" s="283"/>
    </row>
    <row r="116" spans="1:29" s="253" customFormat="1" hidden="1" x14ac:dyDescent="0.2">
      <c r="A116" s="1313"/>
      <c r="B116" s="1276"/>
      <c r="C116" s="1276"/>
      <c r="D116" s="1276"/>
      <c r="E116" s="1276"/>
      <c r="F116" s="1315"/>
      <c r="G116" s="1309"/>
      <c r="H116" s="1311"/>
      <c r="I116" s="290" t="s">
        <v>73</v>
      </c>
      <c r="J116" s="291">
        <f t="shared" si="86"/>
        <v>137054</v>
      </c>
      <c r="K116" s="292">
        <f t="shared" si="86"/>
        <v>46660</v>
      </c>
      <c r="L116" s="293">
        <f t="shared" si="86"/>
        <v>30080</v>
      </c>
      <c r="M116" s="293">
        <f t="shared" si="86"/>
        <v>30000</v>
      </c>
      <c r="N116" s="294">
        <f t="shared" si="86"/>
        <v>30314</v>
      </c>
      <c r="O116" s="295">
        <f t="shared" si="75"/>
        <v>0</v>
      </c>
      <c r="P116" s="292"/>
      <c r="Q116" s="293"/>
      <c r="R116" s="282"/>
      <c r="S116" s="296"/>
      <c r="T116" s="297">
        <f>U116+V116+W116+X116</f>
        <v>131054</v>
      </c>
      <c r="U116" s="298">
        <f>100000-56000</f>
        <v>44000</v>
      </c>
      <c r="V116" s="299">
        <f>112000-83000</f>
        <v>29000</v>
      </c>
      <c r="W116" s="299">
        <f>115000-86000</f>
        <v>29000</v>
      </c>
      <c r="X116" s="431">
        <f>117427-88373</f>
        <v>29054</v>
      </c>
      <c r="Y116" s="295">
        <f t="shared" si="63"/>
        <v>6000</v>
      </c>
      <c r="Z116" s="292">
        <f>2750-90</f>
        <v>2660</v>
      </c>
      <c r="AA116" s="293">
        <f>2750-1670</f>
        <v>1080</v>
      </c>
      <c r="AB116" s="293">
        <f>2750-1750</f>
        <v>1000</v>
      </c>
      <c r="AC116" s="294">
        <f>2750-1490</f>
        <v>1260</v>
      </c>
    </row>
    <row r="117" spans="1:29" s="254" customFormat="1" hidden="1" x14ac:dyDescent="0.2">
      <c r="A117" s="1312"/>
      <c r="B117" s="1275"/>
      <c r="C117" s="1275"/>
      <c r="D117" s="1275"/>
      <c r="E117" s="1275"/>
      <c r="F117" s="1314" t="s">
        <v>128</v>
      </c>
      <c r="G117" s="1308" t="s">
        <v>173</v>
      </c>
      <c r="H117" s="1310" t="s">
        <v>174</v>
      </c>
      <c r="I117" s="279" t="s">
        <v>72</v>
      </c>
      <c r="J117" s="280">
        <f t="shared" si="86"/>
        <v>19660</v>
      </c>
      <c r="K117" s="281">
        <f t="shared" si="86"/>
        <v>19660</v>
      </c>
      <c r="L117" s="282">
        <f t="shared" si="86"/>
        <v>0</v>
      </c>
      <c r="M117" s="282">
        <f t="shared" si="86"/>
        <v>0</v>
      </c>
      <c r="N117" s="283">
        <f t="shared" si="86"/>
        <v>0</v>
      </c>
      <c r="O117" s="284">
        <f t="shared" si="75"/>
        <v>0</v>
      </c>
      <c r="P117" s="281"/>
      <c r="Q117" s="282"/>
      <c r="R117" s="282"/>
      <c r="S117" s="285"/>
      <c r="T117" s="286">
        <f>U117+V117+W117+X117</f>
        <v>660</v>
      </c>
      <c r="U117" s="287">
        <f>860-200</f>
        <v>660</v>
      </c>
      <c r="V117" s="288"/>
      <c r="W117" s="288"/>
      <c r="X117" s="430"/>
      <c r="Y117" s="284">
        <f t="shared" si="63"/>
        <v>19000</v>
      </c>
      <c r="Z117" s="281">
        <v>19000</v>
      </c>
      <c r="AA117" s="282"/>
      <c r="AB117" s="282"/>
      <c r="AC117" s="283"/>
    </row>
    <row r="118" spans="1:29" s="253" customFormat="1" hidden="1" x14ac:dyDescent="0.2">
      <c r="A118" s="1313"/>
      <c r="B118" s="1276"/>
      <c r="C118" s="1276"/>
      <c r="D118" s="1276"/>
      <c r="E118" s="1276"/>
      <c r="F118" s="1315"/>
      <c r="G118" s="1309"/>
      <c r="H118" s="1311"/>
      <c r="I118" s="290" t="s">
        <v>73</v>
      </c>
      <c r="J118" s="291">
        <f t="shared" si="86"/>
        <v>19660</v>
      </c>
      <c r="K118" s="292">
        <f t="shared" si="86"/>
        <v>5200</v>
      </c>
      <c r="L118" s="293">
        <f t="shared" si="86"/>
        <v>4910</v>
      </c>
      <c r="M118" s="293">
        <f t="shared" si="86"/>
        <v>4900</v>
      </c>
      <c r="N118" s="294">
        <f t="shared" si="86"/>
        <v>4650</v>
      </c>
      <c r="O118" s="295">
        <f t="shared" si="75"/>
        <v>0</v>
      </c>
      <c r="P118" s="292"/>
      <c r="Q118" s="293"/>
      <c r="R118" s="293"/>
      <c r="S118" s="296"/>
      <c r="T118" s="297">
        <f t="shared" si="62"/>
        <v>660</v>
      </c>
      <c r="U118" s="298">
        <f>250-50</f>
        <v>200</v>
      </c>
      <c r="V118" s="299">
        <f>210-50</f>
        <v>160</v>
      </c>
      <c r="W118" s="299">
        <f>200-50</f>
        <v>150</v>
      </c>
      <c r="X118" s="431">
        <f>200-50</f>
        <v>150</v>
      </c>
      <c r="Y118" s="295">
        <f t="shared" si="63"/>
        <v>19000</v>
      </c>
      <c r="Z118" s="292">
        <v>5000</v>
      </c>
      <c r="AA118" s="293">
        <v>4750</v>
      </c>
      <c r="AB118" s="293">
        <v>4750</v>
      </c>
      <c r="AC118" s="294">
        <v>4500</v>
      </c>
    </row>
    <row r="119" spans="1:29" s="254" customFormat="1" hidden="1" x14ac:dyDescent="0.2">
      <c r="A119" s="1312"/>
      <c r="B119" s="1275"/>
      <c r="C119" s="1275"/>
      <c r="D119" s="1275"/>
      <c r="E119" s="1277" t="s">
        <v>131</v>
      </c>
      <c r="F119" s="1322"/>
      <c r="G119" s="1334" t="s">
        <v>175</v>
      </c>
      <c r="H119" s="1310" t="s">
        <v>176</v>
      </c>
      <c r="I119" s="279" t="s">
        <v>72</v>
      </c>
      <c r="J119" s="361">
        <f t="shared" si="86"/>
        <v>1695</v>
      </c>
      <c r="K119" s="362">
        <f t="shared" si="86"/>
        <v>1695</v>
      </c>
      <c r="L119" s="363">
        <f t="shared" si="86"/>
        <v>0</v>
      </c>
      <c r="M119" s="363">
        <f t="shared" si="86"/>
        <v>0</v>
      </c>
      <c r="N119" s="364">
        <f t="shared" si="86"/>
        <v>0</v>
      </c>
      <c r="O119" s="365">
        <f t="shared" si="75"/>
        <v>0</v>
      </c>
      <c r="P119" s="362"/>
      <c r="Q119" s="363"/>
      <c r="R119" s="363"/>
      <c r="S119" s="366"/>
      <c r="T119" s="367">
        <f t="shared" ref="T119:T152" si="87">U119+V119+W119+X119</f>
        <v>0</v>
      </c>
      <c r="U119" s="368"/>
      <c r="V119" s="369"/>
      <c r="W119" s="369"/>
      <c r="X119" s="370"/>
      <c r="Y119" s="365">
        <f t="shared" ref="Y119:Y152" si="88">Z119+AA119+AB119+AC119</f>
        <v>1695</v>
      </c>
      <c r="Z119" s="362">
        <f>2000-305</f>
        <v>1695</v>
      </c>
      <c r="AA119" s="363"/>
      <c r="AB119" s="363"/>
      <c r="AC119" s="364"/>
    </row>
    <row r="120" spans="1:29" s="253" customFormat="1" hidden="1" x14ac:dyDescent="0.2">
      <c r="A120" s="1313"/>
      <c r="B120" s="1276"/>
      <c r="C120" s="1276"/>
      <c r="D120" s="1276"/>
      <c r="E120" s="1278"/>
      <c r="F120" s="1323"/>
      <c r="G120" s="1335"/>
      <c r="H120" s="1311"/>
      <c r="I120" s="290" t="s">
        <v>73</v>
      </c>
      <c r="J120" s="373">
        <f t="shared" si="86"/>
        <v>1695</v>
      </c>
      <c r="K120" s="374">
        <f t="shared" si="86"/>
        <v>1695</v>
      </c>
      <c r="L120" s="375">
        <f t="shared" si="86"/>
        <v>0</v>
      </c>
      <c r="M120" s="375">
        <f t="shared" si="86"/>
        <v>0</v>
      </c>
      <c r="N120" s="376">
        <f t="shared" si="86"/>
        <v>0</v>
      </c>
      <c r="O120" s="377">
        <f t="shared" si="75"/>
        <v>0</v>
      </c>
      <c r="P120" s="374"/>
      <c r="Q120" s="375"/>
      <c r="R120" s="375"/>
      <c r="S120" s="378"/>
      <c r="T120" s="379">
        <f t="shared" si="87"/>
        <v>0</v>
      </c>
      <c r="U120" s="380"/>
      <c r="V120" s="381"/>
      <c r="W120" s="381"/>
      <c r="X120" s="382"/>
      <c r="Y120" s="377">
        <f t="shared" si="88"/>
        <v>1695</v>
      </c>
      <c r="Z120" s="374">
        <f>2000-305</f>
        <v>1695</v>
      </c>
      <c r="AA120" s="375"/>
      <c r="AB120" s="375"/>
      <c r="AC120" s="376"/>
    </row>
    <row r="121" spans="1:29" s="254" customFormat="1" hidden="1" x14ac:dyDescent="0.2">
      <c r="A121" s="1312"/>
      <c r="B121" s="1275"/>
      <c r="C121" s="1275"/>
      <c r="D121" s="1275"/>
      <c r="E121" s="1277" t="s">
        <v>104</v>
      </c>
      <c r="F121" s="1322"/>
      <c r="G121" s="1318" t="s">
        <v>177</v>
      </c>
      <c r="H121" s="1316" t="s">
        <v>178</v>
      </c>
      <c r="I121" s="199" t="s">
        <v>72</v>
      </c>
      <c r="J121" s="315">
        <f>K121+L121+M121+N121</f>
        <v>3500</v>
      </c>
      <c r="K121" s="316">
        <f t="shared" ref="K121:N122" si="89">K123</f>
        <v>3500</v>
      </c>
      <c r="L121" s="317">
        <f t="shared" si="89"/>
        <v>0</v>
      </c>
      <c r="M121" s="317">
        <f t="shared" si="89"/>
        <v>0</v>
      </c>
      <c r="N121" s="318">
        <f t="shared" si="89"/>
        <v>0</v>
      </c>
      <c r="O121" s="319">
        <f>P121+Q121+R121+S121</f>
        <v>0</v>
      </c>
      <c r="P121" s="320">
        <f t="shared" ref="P121:S122" si="90">P123</f>
        <v>0</v>
      </c>
      <c r="Q121" s="321">
        <f t="shared" si="90"/>
        <v>0</v>
      </c>
      <c r="R121" s="321">
        <f t="shared" si="90"/>
        <v>0</v>
      </c>
      <c r="S121" s="322">
        <f t="shared" si="90"/>
        <v>0</v>
      </c>
      <c r="T121" s="323">
        <f>U121+V121+W121+X121</f>
        <v>500</v>
      </c>
      <c r="U121" s="324">
        <f t="shared" ref="U121:X122" si="91">U123</f>
        <v>500</v>
      </c>
      <c r="V121" s="325">
        <f t="shared" si="91"/>
        <v>0</v>
      </c>
      <c r="W121" s="325">
        <f t="shared" si="91"/>
        <v>0</v>
      </c>
      <c r="X121" s="428">
        <f t="shared" si="91"/>
        <v>0</v>
      </c>
      <c r="Y121" s="429">
        <f>Z121+AA121+AB121+AC121</f>
        <v>3000</v>
      </c>
      <c r="Z121" s="328">
        <f t="shared" ref="Z121:AC122" si="92">Z123</f>
        <v>3000</v>
      </c>
      <c r="AA121" s="329">
        <f t="shared" si="92"/>
        <v>0</v>
      </c>
      <c r="AB121" s="329">
        <f t="shared" si="92"/>
        <v>0</v>
      </c>
      <c r="AC121" s="330">
        <f t="shared" si="92"/>
        <v>0</v>
      </c>
    </row>
    <row r="122" spans="1:29" s="253" customFormat="1" hidden="1" x14ac:dyDescent="0.2">
      <c r="A122" s="1313"/>
      <c r="B122" s="1276"/>
      <c r="C122" s="1276"/>
      <c r="D122" s="1276"/>
      <c r="E122" s="1278"/>
      <c r="F122" s="1323"/>
      <c r="G122" s="1319"/>
      <c r="H122" s="1317"/>
      <c r="I122" s="331" t="s">
        <v>73</v>
      </c>
      <c r="J122" s="332">
        <f>K122+L122+M122+N122</f>
        <v>3500</v>
      </c>
      <c r="K122" s="333">
        <f t="shared" si="89"/>
        <v>825</v>
      </c>
      <c r="L122" s="334">
        <f t="shared" si="89"/>
        <v>1483</v>
      </c>
      <c r="M122" s="334">
        <f t="shared" si="89"/>
        <v>517</v>
      </c>
      <c r="N122" s="335">
        <f t="shared" si="89"/>
        <v>675</v>
      </c>
      <c r="O122" s="336">
        <f>P122+Q122+R122+S122</f>
        <v>0</v>
      </c>
      <c r="P122" s="337">
        <f t="shared" si="90"/>
        <v>0</v>
      </c>
      <c r="Q122" s="338">
        <f t="shared" si="90"/>
        <v>0</v>
      </c>
      <c r="R122" s="338">
        <f t="shared" si="90"/>
        <v>0</v>
      </c>
      <c r="S122" s="339">
        <f t="shared" si="90"/>
        <v>0</v>
      </c>
      <c r="T122" s="340">
        <f>U122+V122+W122+X122</f>
        <v>500</v>
      </c>
      <c r="U122" s="341">
        <f t="shared" si="91"/>
        <v>200</v>
      </c>
      <c r="V122" s="342">
        <f t="shared" si="91"/>
        <v>100</v>
      </c>
      <c r="W122" s="342">
        <f t="shared" si="91"/>
        <v>100</v>
      </c>
      <c r="X122" s="432">
        <f t="shared" si="91"/>
        <v>100</v>
      </c>
      <c r="Y122" s="433">
        <f>Z122+AA122+AB122+AC122</f>
        <v>3000</v>
      </c>
      <c r="Z122" s="345">
        <f t="shared" si="92"/>
        <v>625</v>
      </c>
      <c r="AA122" s="346">
        <f t="shared" si="92"/>
        <v>1383</v>
      </c>
      <c r="AB122" s="346">
        <f t="shared" si="92"/>
        <v>417</v>
      </c>
      <c r="AC122" s="347">
        <f t="shared" si="92"/>
        <v>575</v>
      </c>
    </row>
    <row r="123" spans="1:29" s="254" customFormat="1" hidden="1" x14ac:dyDescent="0.2">
      <c r="A123" s="1312"/>
      <c r="B123" s="1275"/>
      <c r="C123" s="1275"/>
      <c r="D123" s="1275"/>
      <c r="E123" s="1275"/>
      <c r="F123" s="1314" t="s">
        <v>128</v>
      </c>
      <c r="G123" s="1308" t="s">
        <v>179</v>
      </c>
      <c r="H123" s="1310" t="s">
        <v>180</v>
      </c>
      <c r="I123" s="279" t="s">
        <v>72</v>
      </c>
      <c r="J123" s="280">
        <f t="shared" ref="J123:N124" si="93">O123+T123+Y123</f>
        <v>3500</v>
      </c>
      <c r="K123" s="281">
        <f t="shared" si="93"/>
        <v>3500</v>
      </c>
      <c r="L123" s="282">
        <f t="shared" si="93"/>
        <v>0</v>
      </c>
      <c r="M123" s="282">
        <f t="shared" si="93"/>
        <v>0</v>
      </c>
      <c r="N123" s="283">
        <f t="shared" si="93"/>
        <v>0</v>
      </c>
      <c r="O123" s="284">
        <f t="shared" ref="O123:O140" si="94">P123+Q123+R123+S123</f>
        <v>0</v>
      </c>
      <c r="P123" s="281"/>
      <c r="Q123" s="282"/>
      <c r="R123" s="282"/>
      <c r="S123" s="285"/>
      <c r="T123" s="286">
        <f>U123+V123+W123+X123</f>
        <v>500</v>
      </c>
      <c r="U123" s="287">
        <f>800-300</f>
        <v>500</v>
      </c>
      <c r="V123" s="288"/>
      <c r="W123" s="288"/>
      <c r="X123" s="430"/>
      <c r="Y123" s="284">
        <f>Z123+AA123+AB123+AC123</f>
        <v>3000</v>
      </c>
      <c r="Z123" s="281">
        <f>2500+1000-500</f>
        <v>3000</v>
      </c>
      <c r="AA123" s="282"/>
      <c r="AB123" s="282"/>
      <c r="AC123" s="283"/>
    </row>
    <row r="124" spans="1:29" s="253" customFormat="1" hidden="1" x14ac:dyDescent="0.2">
      <c r="A124" s="1313"/>
      <c r="B124" s="1276"/>
      <c r="C124" s="1276"/>
      <c r="D124" s="1276"/>
      <c r="E124" s="1276"/>
      <c r="F124" s="1315"/>
      <c r="G124" s="1309"/>
      <c r="H124" s="1311"/>
      <c r="I124" s="290" t="s">
        <v>73</v>
      </c>
      <c r="J124" s="291">
        <f t="shared" si="93"/>
        <v>3500</v>
      </c>
      <c r="K124" s="292">
        <f t="shared" si="93"/>
        <v>825</v>
      </c>
      <c r="L124" s="293">
        <f t="shared" si="93"/>
        <v>1483</v>
      </c>
      <c r="M124" s="293">
        <f t="shared" si="93"/>
        <v>517</v>
      </c>
      <c r="N124" s="294">
        <f t="shared" si="93"/>
        <v>675</v>
      </c>
      <c r="O124" s="295">
        <f t="shared" si="94"/>
        <v>0</v>
      </c>
      <c r="P124" s="292"/>
      <c r="Q124" s="293"/>
      <c r="R124" s="293"/>
      <c r="S124" s="296"/>
      <c r="T124" s="297">
        <f t="shared" si="87"/>
        <v>500</v>
      </c>
      <c r="U124" s="298">
        <v>200</v>
      </c>
      <c r="V124" s="299">
        <f>200-100</f>
        <v>100</v>
      </c>
      <c r="W124" s="299">
        <f t="shared" ref="W124:X124" si="95">200-100</f>
        <v>100</v>
      </c>
      <c r="X124" s="299">
        <f t="shared" si="95"/>
        <v>100</v>
      </c>
      <c r="Y124" s="295">
        <f t="shared" si="88"/>
        <v>3000</v>
      </c>
      <c r="Z124" s="292">
        <v>625</v>
      </c>
      <c r="AA124" s="293">
        <f>625+1000-360+68+50</f>
        <v>1383</v>
      </c>
      <c r="AB124" s="293">
        <f>625-140-68</f>
        <v>417</v>
      </c>
      <c r="AC124" s="294">
        <f>625-50</f>
        <v>575</v>
      </c>
    </row>
    <row r="125" spans="1:29" s="254" customFormat="1" hidden="1" x14ac:dyDescent="0.2">
      <c r="A125" s="1312"/>
      <c r="B125" s="1275"/>
      <c r="C125" s="1275"/>
      <c r="D125" s="1275"/>
      <c r="E125" s="1277" t="s">
        <v>107</v>
      </c>
      <c r="F125" s="1322"/>
      <c r="G125" s="1318" t="s">
        <v>181</v>
      </c>
      <c r="H125" s="1316" t="s">
        <v>182</v>
      </c>
      <c r="I125" s="199" t="s">
        <v>72</v>
      </c>
      <c r="J125" s="315">
        <f>K125+L125+M125+N125</f>
        <v>1500</v>
      </c>
      <c r="K125" s="316">
        <f t="shared" ref="K125:N126" si="96">K127+K129</f>
        <v>1500</v>
      </c>
      <c r="L125" s="317">
        <f t="shared" si="96"/>
        <v>0</v>
      </c>
      <c r="M125" s="317">
        <f t="shared" si="96"/>
        <v>0</v>
      </c>
      <c r="N125" s="318">
        <f t="shared" si="96"/>
        <v>0</v>
      </c>
      <c r="O125" s="319">
        <f t="shared" si="94"/>
        <v>0</v>
      </c>
      <c r="P125" s="320">
        <f t="shared" ref="P125:S126" si="97">P127+P129</f>
        <v>0</v>
      </c>
      <c r="Q125" s="321">
        <f t="shared" si="97"/>
        <v>0</v>
      </c>
      <c r="R125" s="321">
        <f t="shared" si="97"/>
        <v>0</v>
      </c>
      <c r="S125" s="322">
        <f t="shared" si="97"/>
        <v>0</v>
      </c>
      <c r="T125" s="323">
        <f t="shared" si="87"/>
        <v>550</v>
      </c>
      <c r="U125" s="324">
        <f t="shared" ref="U125:X126" si="98">U127+U129</f>
        <v>550</v>
      </c>
      <c r="V125" s="325">
        <f t="shared" si="98"/>
        <v>0</v>
      </c>
      <c r="W125" s="325">
        <f t="shared" si="98"/>
        <v>0</v>
      </c>
      <c r="X125" s="428">
        <f t="shared" si="98"/>
        <v>0</v>
      </c>
      <c r="Y125" s="429">
        <f t="shared" si="88"/>
        <v>950</v>
      </c>
      <c r="Z125" s="328">
        <f t="shared" ref="Z125:AC126" si="99">Z127+Z129</f>
        <v>950</v>
      </c>
      <c r="AA125" s="329">
        <f t="shared" si="99"/>
        <v>0</v>
      </c>
      <c r="AB125" s="329">
        <f t="shared" si="99"/>
        <v>0</v>
      </c>
      <c r="AC125" s="330">
        <f t="shared" si="99"/>
        <v>0</v>
      </c>
    </row>
    <row r="126" spans="1:29" s="253" customFormat="1" hidden="1" x14ac:dyDescent="0.2">
      <c r="A126" s="1313"/>
      <c r="B126" s="1276"/>
      <c r="C126" s="1276"/>
      <c r="D126" s="1276"/>
      <c r="E126" s="1278"/>
      <c r="F126" s="1323"/>
      <c r="G126" s="1319"/>
      <c r="H126" s="1317"/>
      <c r="I126" s="331" t="s">
        <v>73</v>
      </c>
      <c r="J126" s="332">
        <f>K126+L126+M126+N126</f>
        <v>1500</v>
      </c>
      <c r="K126" s="333">
        <f t="shared" si="96"/>
        <v>1500</v>
      </c>
      <c r="L126" s="334">
        <f t="shared" si="96"/>
        <v>0</v>
      </c>
      <c r="M126" s="334">
        <f t="shared" si="96"/>
        <v>0</v>
      </c>
      <c r="N126" s="335">
        <f t="shared" si="96"/>
        <v>0</v>
      </c>
      <c r="O126" s="336">
        <f t="shared" si="94"/>
        <v>0</v>
      </c>
      <c r="P126" s="337">
        <f t="shared" si="97"/>
        <v>0</v>
      </c>
      <c r="Q126" s="338">
        <f t="shared" si="97"/>
        <v>0</v>
      </c>
      <c r="R126" s="338">
        <f t="shared" si="97"/>
        <v>0</v>
      </c>
      <c r="S126" s="339">
        <f t="shared" si="97"/>
        <v>0</v>
      </c>
      <c r="T126" s="340">
        <f t="shared" si="87"/>
        <v>550</v>
      </c>
      <c r="U126" s="341">
        <f t="shared" si="98"/>
        <v>550</v>
      </c>
      <c r="V126" s="342">
        <f t="shared" si="98"/>
        <v>0</v>
      </c>
      <c r="W126" s="342">
        <f t="shared" si="98"/>
        <v>0</v>
      </c>
      <c r="X126" s="432">
        <f t="shared" si="98"/>
        <v>0</v>
      </c>
      <c r="Y126" s="433">
        <f t="shared" si="88"/>
        <v>950</v>
      </c>
      <c r="Z126" s="345">
        <f t="shared" si="99"/>
        <v>950</v>
      </c>
      <c r="AA126" s="346">
        <f t="shared" si="99"/>
        <v>0</v>
      </c>
      <c r="AB126" s="346">
        <f t="shared" si="99"/>
        <v>0</v>
      </c>
      <c r="AC126" s="347">
        <f t="shared" si="99"/>
        <v>0</v>
      </c>
    </row>
    <row r="127" spans="1:29" s="254" customFormat="1" hidden="1" x14ac:dyDescent="0.2">
      <c r="A127" s="1312"/>
      <c r="B127" s="1275"/>
      <c r="C127" s="1275"/>
      <c r="D127" s="1275"/>
      <c r="E127" s="1275"/>
      <c r="F127" s="1314" t="s">
        <v>74</v>
      </c>
      <c r="G127" s="1308" t="s">
        <v>183</v>
      </c>
      <c r="H127" s="1310" t="s">
        <v>184</v>
      </c>
      <c r="I127" s="279" t="s">
        <v>72</v>
      </c>
      <c r="J127" s="280">
        <f t="shared" ref="J127:N140" si="100">O127+T127+Y127</f>
        <v>1100</v>
      </c>
      <c r="K127" s="281">
        <f t="shared" si="100"/>
        <v>1100</v>
      </c>
      <c r="L127" s="282">
        <f t="shared" si="100"/>
        <v>0</v>
      </c>
      <c r="M127" s="282">
        <f t="shared" si="100"/>
        <v>0</v>
      </c>
      <c r="N127" s="283">
        <f t="shared" si="100"/>
        <v>0</v>
      </c>
      <c r="O127" s="284">
        <f t="shared" si="94"/>
        <v>0</v>
      </c>
      <c r="P127" s="281"/>
      <c r="Q127" s="282"/>
      <c r="R127" s="282"/>
      <c r="S127" s="285"/>
      <c r="T127" s="286">
        <f t="shared" si="87"/>
        <v>450</v>
      </c>
      <c r="U127" s="287">
        <f>800-350</f>
        <v>450</v>
      </c>
      <c r="V127" s="288"/>
      <c r="W127" s="288"/>
      <c r="X127" s="430"/>
      <c r="Y127" s="284">
        <f t="shared" si="88"/>
        <v>650</v>
      </c>
      <c r="Z127" s="281">
        <f>1000-350</f>
        <v>650</v>
      </c>
      <c r="AA127" s="282"/>
      <c r="AB127" s="282"/>
      <c r="AC127" s="283"/>
    </row>
    <row r="128" spans="1:29" s="253" customFormat="1" hidden="1" x14ac:dyDescent="0.2">
      <c r="A128" s="1313"/>
      <c r="B128" s="1276"/>
      <c r="C128" s="1276"/>
      <c r="D128" s="1276"/>
      <c r="E128" s="1276"/>
      <c r="F128" s="1315"/>
      <c r="G128" s="1309"/>
      <c r="H128" s="1311"/>
      <c r="I128" s="290" t="s">
        <v>73</v>
      </c>
      <c r="J128" s="291">
        <f t="shared" si="100"/>
        <v>1100</v>
      </c>
      <c r="K128" s="292">
        <f t="shared" si="100"/>
        <v>1100</v>
      </c>
      <c r="L128" s="293">
        <f t="shared" si="100"/>
        <v>0</v>
      </c>
      <c r="M128" s="293">
        <f t="shared" si="100"/>
        <v>0</v>
      </c>
      <c r="N128" s="294">
        <f t="shared" si="100"/>
        <v>0</v>
      </c>
      <c r="O128" s="295">
        <f t="shared" si="94"/>
        <v>0</v>
      </c>
      <c r="P128" s="292"/>
      <c r="Q128" s="293"/>
      <c r="R128" s="293"/>
      <c r="S128" s="296"/>
      <c r="T128" s="297">
        <f t="shared" si="87"/>
        <v>450</v>
      </c>
      <c r="U128" s="298">
        <f>800-350</f>
        <v>450</v>
      </c>
      <c r="V128" s="299"/>
      <c r="W128" s="299"/>
      <c r="X128" s="431"/>
      <c r="Y128" s="295">
        <f t="shared" si="88"/>
        <v>650</v>
      </c>
      <c r="Z128" s="292">
        <f>1000-350</f>
        <v>650</v>
      </c>
      <c r="AA128" s="293"/>
      <c r="AB128" s="293"/>
      <c r="AC128" s="294"/>
    </row>
    <row r="129" spans="1:29" s="254" customFormat="1" hidden="1" x14ac:dyDescent="0.2">
      <c r="A129" s="1312"/>
      <c r="B129" s="1275"/>
      <c r="C129" s="1275"/>
      <c r="D129" s="1275"/>
      <c r="E129" s="1275"/>
      <c r="F129" s="1314" t="s">
        <v>131</v>
      </c>
      <c r="G129" s="1308" t="s">
        <v>185</v>
      </c>
      <c r="H129" s="1310" t="s">
        <v>186</v>
      </c>
      <c r="I129" s="279" t="s">
        <v>72</v>
      </c>
      <c r="J129" s="280">
        <f t="shared" si="100"/>
        <v>400</v>
      </c>
      <c r="K129" s="281">
        <f t="shared" si="100"/>
        <v>400</v>
      </c>
      <c r="L129" s="282">
        <f t="shared" si="100"/>
        <v>0</v>
      </c>
      <c r="M129" s="282">
        <f t="shared" si="100"/>
        <v>0</v>
      </c>
      <c r="N129" s="283">
        <f t="shared" si="100"/>
        <v>0</v>
      </c>
      <c r="O129" s="284">
        <f t="shared" si="94"/>
        <v>0</v>
      </c>
      <c r="P129" s="281"/>
      <c r="Q129" s="282"/>
      <c r="R129" s="282"/>
      <c r="S129" s="285"/>
      <c r="T129" s="286">
        <f t="shared" si="87"/>
        <v>100</v>
      </c>
      <c r="U129" s="287">
        <f>250-150</f>
        <v>100</v>
      </c>
      <c r="V129" s="288"/>
      <c r="W129" s="288"/>
      <c r="X129" s="430"/>
      <c r="Y129" s="284">
        <f t="shared" si="88"/>
        <v>300</v>
      </c>
      <c r="Z129" s="281">
        <f>450-150</f>
        <v>300</v>
      </c>
      <c r="AA129" s="282"/>
      <c r="AB129" s="282"/>
      <c r="AC129" s="283"/>
    </row>
    <row r="130" spans="1:29" s="253" customFormat="1" hidden="1" x14ac:dyDescent="0.2">
      <c r="A130" s="1313"/>
      <c r="B130" s="1276"/>
      <c r="C130" s="1276"/>
      <c r="D130" s="1276"/>
      <c r="E130" s="1276"/>
      <c r="F130" s="1315"/>
      <c r="G130" s="1309"/>
      <c r="H130" s="1311"/>
      <c r="I130" s="290" t="s">
        <v>73</v>
      </c>
      <c r="J130" s="291">
        <f t="shared" si="100"/>
        <v>400</v>
      </c>
      <c r="K130" s="292">
        <f t="shared" si="100"/>
        <v>400</v>
      </c>
      <c r="L130" s="293">
        <f t="shared" si="100"/>
        <v>0</v>
      </c>
      <c r="M130" s="293">
        <f t="shared" si="100"/>
        <v>0</v>
      </c>
      <c r="N130" s="294">
        <f t="shared" si="100"/>
        <v>0</v>
      </c>
      <c r="O130" s="295">
        <f t="shared" si="94"/>
        <v>0</v>
      </c>
      <c r="P130" s="292"/>
      <c r="Q130" s="293"/>
      <c r="R130" s="293"/>
      <c r="S130" s="296"/>
      <c r="T130" s="297">
        <f t="shared" si="87"/>
        <v>100</v>
      </c>
      <c r="U130" s="298">
        <f>250-150</f>
        <v>100</v>
      </c>
      <c r="V130" s="299"/>
      <c r="W130" s="299"/>
      <c r="X130" s="431"/>
      <c r="Y130" s="295">
        <f t="shared" si="88"/>
        <v>300</v>
      </c>
      <c r="Z130" s="292">
        <f>450-150</f>
        <v>300</v>
      </c>
      <c r="AA130" s="293"/>
      <c r="AB130" s="293"/>
      <c r="AC130" s="294"/>
    </row>
    <row r="131" spans="1:29" s="254" customFormat="1" hidden="1" x14ac:dyDescent="0.2">
      <c r="A131" s="1312"/>
      <c r="B131" s="1275"/>
      <c r="C131" s="1275"/>
      <c r="D131" s="1275"/>
      <c r="E131" s="1277" t="s">
        <v>187</v>
      </c>
      <c r="F131" s="1322"/>
      <c r="G131" s="1334" t="s">
        <v>188</v>
      </c>
      <c r="H131" s="1310" t="s">
        <v>189</v>
      </c>
      <c r="I131" s="279" t="s">
        <v>72</v>
      </c>
      <c r="J131" s="280">
        <f t="shared" si="100"/>
        <v>100</v>
      </c>
      <c r="K131" s="281">
        <f t="shared" si="100"/>
        <v>100</v>
      </c>
      <c r="L131" s="282">
        <f t="shared" si="100"/>
        <v>0</v>
      </c>
      <c r="M131" s="282">
        <f t="shared" si="100"/>
        <v>0</v>
      </c>
      <c r="N131" s="283">
        <f t="shared" si="100"/>
        <v>0</v>
      </c>
      <c r="O131" s="284">
        <f t="shared" si="94"/>
        <v>0</v>
      </c>
      <c r="P131" s="281"/>
      <c r="Q131" s="282"/>
      <c r="R131" s="282"/>
      <c r="S131" s="285"/>
      <c r="T131" s="286">
        <f t="shared" si="87"/>
        <v>50</v>
      </c>
      <c r="U131" s="287">
        <v>50</v>
      </c>
      <c r="V131" s="288"/>
      <c r="W131" s="288"/>
      <c r="X131" s="430"/>
      <c r="Y131" s="284">
        <f t="shared" si="88"/>
        <v>50</v>
      </c>
      <c r="Z131" s="281">
        <f>100-50</f>
        <v>50</v>
      </c>
      <c r="AA131" s="282"/>
      <c r="AB131" s="282"/>
      <c r="AC131" s="283"/>
    </row>
    <row r="132" spans="1:29" s="253" customFormat="1" hidden="1" x14ac:dyDescent="0.2">
      <c r="A132" s="1313"/>
      <c r="B132" s="1276"/>
      <c r="C132" s="1276"/>
      <c r="D132" s="1276"/>
      <c r="E132" s="1278"/>
      <c r="F132" s="1323"/>
      <c r="G132" s="1335"/>
      <c r="H132" s="1311"/>
      <c r="I132" s="290" t="s">
        <v>73</v>
      </c>
      <c r="J132" s="291">
        <f t="shared" si="100"/>
        <v>100</v>
      </c>
      <c r="K132" s="292">
        <f t="shared" si="100"/>
        <v>100</v>
      </c>
      <c r="L132" s="293">
        <f t="shared" si="100"/>
        <v>0</v>
      </c>
      <c r="M132" s="293">
        <f t="shared" si="100"/>
        <v>0</v>
      </c>
      <c r="N132" s="294">
        <f t="shared" si="100"/>
        <v>0</v>
      </c>
      <c r="O132" s="295">
        <f t="shared" si="94"/>
        <v>0</v>
      </c>
      <c r="P132" s="292"/>
      <c r="Q132" s="293"/>
      <c r="R132" s="293"/>
      <c r="S132" s="296"/>
      <c r="T132" s="297">
        <f t="shared" si="87"/>
        <v>50</v>
      </c>
      <c r="U132" s="298">
        <v>50</v>
      </c>
      <c r="V132" s="299"/>
      <c r="W132" s="299"/>
      <c r="X132" s="431"/>
      <c r="Y132" s="295">
        <f t="shared" si="88"/>
        <v>50</v>
      </c>
      <c r="Z132" s="292">
        <f>100-50</f>
        <v>50</v>
      </c>
      <c r="AA132" s="293"/>
      <c r="AB132" s="293"/>
      <c r="AC132" s="294"/>
    </row>
    <row r="133" spans="1:29" s="254" customFormat="1" hidden="1" x14ac:dyDescent="0.2">
      <c r="A133" s="1312"/>
      <c r="B133" s="1275"/>
      <c r="C133" s="1275"/>
      <c r="D133" s="1275"/>
      <c r="E133" s="1277" t="s">
        <v>115</v>
      </c>
      <c r="F133" s="1322"/>
      <c r="G133" s="1334" t="s">
        <v>190</v>
      </c>
      <c r="H133" s="1310" t="s">
        <v>191</v>
      </c>
      <c r="I133" s="279" t="s">
        <v>72</v>
      </c>
      <c r="J133" s="280">
        <f t="shared" si="100"/>
        <v>450</v>
      </c>
      <c r="K133" s="281">
        <f t="shared" si="100"/>
        <v>450</v>
      </c>
      <c r="L133" s="282">
        <f t="shared" si="100"/>
        <v>0</v>
      </c>
      <c r="M133" s="282">
        <f t="shared" si="100"/>
        <v>0</v>
      </c>
      <c r="N133" s="283">
        <f t="shared" si="100"/>
        <v>0</v>
      </c>
      <c r="O133" s="284">
        <f t="shared" si="94"/>
        <v>0</v>
      </c>
      <c r="P133" s="281"/>
      <c r="Q133" s="282"/>
      <c r="R133" s="282"/>
      <c r="S133" s="285"/>
      <c r="T133" s="286">
        <f t="shared" si="87"/>
        <v>200</v>
      </c>
      <c r="U133" s="287">
        <f>400-200</f>
        <v>200</v>
      </c>
      <c r="V133" s="288"/>
      <c r="W133" s="288"/>
      <c r="X133" s="430"/>
      <c r="Y133" s="284">
        <f t="shared" si="88"/>
        <v>250</v>
      </c>
      <c r="Z133" s="281">
        <f>500-250</f>
        <v>250</v>
      </c>
      <c r="AA133" s="282"/>
      <c r="AB133" s="282"/>
      <c r="AC133" s="283"/>
    </row>
    <row r="134" spans="1:29" s="253" customFormat="1" hidden="1" x14ac:dyDescent="0.2">
      <c r="A134" s="1313"/>
      <c r="B134" s="1276"/>
      <c r="C134" s="1276"/>
      <c r="D134" s="1276"/>
      <c r="E134" s="1278"/>
      <c r="F134" s="1323"/>
      <c r="G134" s="1335"/>
      <c r="H134" s="1311"/>
      <c r="I134" s="290" t="s">
        <v>73</v>
      </c>
      <c r="J134" s="291">
        <f t="shared" si="100"/>
        <v>450</v>
      </c>
      <c r="K134" s="292">
        <f t="shared" si="100"/>
        <v>450</v>
      </c>
      <c r="L134" s="293">
        <f t="shared" si="100"/>
        <v>0</v>
      </c>
      <c r="M134" s="293">
        <f t="shared" si="100"/>
        <v>0</v>
      </c>
      <c r="N134" s="294">
        <f t="shared" si="100"/>
        <v>0</v>
      </c>
      <c r="O134" s="295">
        <f t="shared" si="94"/>
        <v>0</v>
      </c>
      <c r="P134" s="292"/>
      <c r="Q134" s="293"/>
      <c r="R134" s="293"/>
      <c r="S134" s="296"/>
      <c r="T134" s="297">
        <f t="shared" si="87"/>
        <v>200</v>
      </c>
      <c r="U134" s="298">
        <f>400-200</f>
        <v>200</v>
      </c>
      <c r="V134" s="299"/>
      <c r="W134" s="299"/>
      <c r="X134" s="431"/>
      <c r="Y134" s="295">
        <f t="shared" si="88"/>
        <v>250</v>
      </c>
      <c r="Z134" s="292">
        <f>500-250</f>
        <v>250</v>
      </c>
      <c r="AA134" s="293"/>
      <c r="AB134" s="293"/>
      <c r="AC134" s="294"/>
    </row>
    <row r="135" spans="1:29" s="254" customFormat="1" hidden="1" x14ac:dyDescent="0.2">
      <c r="A135" s="1312"/>
      <c r="B135" s="1275"/>
      <c r="C135" s="1275"/>
      <c r="D135" s="1275"/>
      <c r="E135" s="1277" t="s">
        <v>118</v>
      </c>
      <c r="F135" s="1322"/>
      <c r="G135" s="1334" t="s">
        <v>192</v>
      </c>
      <c r="H135" s="1310" t="s">
        <v>193</v>
      </c>
      <c r="I135" s="279" t="s">
        <v>72</v>
      </c>
      <c r="J135" s="280">
        <f t="shared" si="100"/>
        <v>2500</v>
      </c>
      <c r="K135" s="281">
        <f t="shared" si="100"/>
        <v>2500</v>
      </c>
      <c r="L135" s="282">
        <f t="shared" si="100"/>
        <v>0</v>
      </c>
      <c r="M135" s="282">
        <f t="shared" si="100"/>
        <v>0</v>
      </c>
      <c r="N135" s="283">
        <f t="shared" si="100"/>
        <v>0</v>
      </c>
      <c r="O135" s="284">
        <f t="shared" si="94"/>
        <v>0</v>
      </c>
      <c r="P135" s="281"/>
      <c r="Q135" s="282"/>
      <c r="R135" s="282"/>
      <c r="S135" s="285"/>
      <c r="T135" s="286">
        <f t="shared" si="87"/>
        <v>2000</v>
      </c>
      <c r="U135" s="287">
        <v>2000</v>
      </c>
      <c r="V135" s="288"/>
      <c r="W135" s="288"/>
      <c r="X135" s="430"/>
      <c r="Y135" s="284">
        <f t="shared" si="88"/>
        <v>500</v>
      </c>
      <c r="Z135" s="281">
        <v>500</v>
      </c>
      <c r="AA135" s="282"/>
      <c r="AB135" s="282"/>
      <c r="AC135" s="283"/>
    </row>
    <row r="136" spans="1:29" s="253" customFormat="1" hidden="1" x14ac:dyDescent="0.2">
      <c r="A136" s="1313"/>
      <c r="B136" s="1276"/>
      <c r="C136" s="1276"/>
      <c r="D136" s="1276"/>
      <c r="E136" s="1278"/>
      <c r="F136" s="1323"/>
      <c r="G136" s="1335"/>
      <c r="H136" s="1311"/>
      <c r="I136" s="290" t="s">
        <v>73</v>
      </c>
      <c r="J136" s="291">
        <f t="shared" si="100"/>
        <v>2500</v>
      </c>
      <c r="K136" s="292">
        <f t="shared" si="100"/>
        <v>1300</v>
      </c>
      <c r="L136" s="293">
        <f t="shared" si="100"/>
        <v>400</v>
      </c>
      <c r="M136" s="293">
        <f t="shared" si="100"/>
        <v>400</v>
      </c>
      <c r="N136" s="294">
        <f t="shared" si="100"/>
        <v>400</v>
      </c>
      <c r="O136" s="295">
        <f t="shared" si="94"/>
        <v>0</v>
      </c>
      <c r="P136" s="292"/>
      <c r="Q136" s="293"/>
      <c r="R136" s="293"/>
      <c r="S136" s="296"/>
      <c r="T136" s="297">
        <f t="shared" si="87"/>
        <v>2000</v>
      </c>
      <c r="U136" s="298">
        <v>800</v>
      </c>
      <c r="V136" s="299">
        <v>400</v>
      </c>
      <c r="W136" s="299">
        <v>400</v>
      </c>
      <c r="X136" s="431">
        <v>400</v>
      </c>
      <c r="Y136" s="295">
        <f t="shared" si="88"/>
        <v>500</v>
      </c>
      <c r="Z136" s="292">
        <v>500</v>
      </c>
      <c r="AA136" s="293"/>
      <c r="AB136" s="293"/>
      <c r="AC136" s="294"/>
    </row>
    <row r="137" spans="1:29" s="254" customFormat="1" hidden="1" x14ac:dyDescent="0.2">
      <c r="A137" s="1312"/>
      <c r="B137" s="1275"/>
      <c r="C137" s="1275"/>
      <c r="D137" s="1275"/>
      <c r="E137" s="1277" t="s">
        <v>121</v>
      </c>
      <c r="F137" s="1322"/>
      <c r="G137" s="1334" t="s">
        <v>194</v>
      </c>
      <c r="H137" s="1310" t="s">
        <v>195</v>
      </c>
      <c r="I137" s="279" t="s">
        <v>72</v>
      </c>
      <c r="J137" s="280">
        <f t="shared" si="100"/>
        <v>3200</v>
      </c>
      <c r="K137" s="281">
        <f t="shared" si="100"/>
        <v>3200</v>
      </c>
      <c r="L137" s="282">
        <f t="shared" si="100"/>
        <v>0</v>
      </c>
      <c r="M137" s="282">
        <f t="shared" si="100"/>
        <v>0</v>
      </c>
      <c r="N137" s="283">
        <f t="shared" si="100"/>
        <v>0</v>
      </c>
      <c r="O137" s="284">
        <f t="shared" si="94"/>
        <v>0</v>
      </c>
      <c r="P137" s="281"/>
      <c r="Q137" s="282"/>
      <c r="R137" s="282"/>
      <c r="S137" s="285"/>
      <c r="T137" s="286">
        <f t="shared" si="87"/>
        <v>300</v>
      </c>
      <c r="U137" s="287">
        <v>300</v>
      </c>
      <c r="V137" s="288"/>
      <c r="W137" s="288"/>
      <c r="X137" s="430"/>
      <c r="Y137" s="284">
        <f t="shared" si="88"/>
        <v>2900</v>
      </c>
      <c r="Z137" s="281">
        <f>1000+650+2000-750</f>
        <v>2900</v>
      </c>
      <c r="AA137" s="282"/>
      <c r="AB137" s="282"/>
      <c r="AC137" s="283"/>
    </row>
    <row r="138" spans="1:29" s="253" customFormat="1" hidden="1" x14ac:dyDescent="0.2">
      <c r="A138" s="1313"/>
      <c r="B138" s="1276"/>
      <c r="C138" s="1276"/>
      <c r="D138" s="1276"/>
      <c r="E138" s="1278"/>
      <c r="F138" s="1323"/>
      <c r="G138" s="1335"/>
      <c r="H138" s="1311"/>
      <c r="I138" s="290" t="s">
        <v>73</v>
      </c>
      <c r="J138" s="291">
        <f t="shared" si="100"/>
        <v>3200</v>
      </c>
      <c r="K138" s="292">
        <f t="shared" si="100"/>
        <v>1950</v>
      </c>
      <c r="L138" s="293">
        <f t="shared" si="100"/>
        <v>1250</v>
      </c>
      <c r="M138" s="293">
        <f t="shared" si="100"/>
        <v>0</v>
      </c>
      <c r="N138" s="294">
        <f t="shared" si="100"/>
        <v>0</v>
      </c>
      <c r="O138" s="295">
        <f t="shared" si="94"/>
        <v>0</v>
      </c>
      <c r="P138" s="292"/>
      <c r="Q138" s="293"/>
      <c r="R138" s="293"/>
      <c r="S138" s="296"/>
      <c r="T138" s="297">
        <f t="shared" si="87"/>
        <v>300</v>
      </c>
      <c r="U138" s="298">
        <v>300</v>
      </c>
      <c r="V138" s="299"/>
      <c r="W138" s="299"/>
      <c r="X138" s="431"/>
      <c r="Y138" s="295">
        <f t="shared" si="88"/>
        <v>2900</v>
      </c>
      <c r="Z138" s="292">
        <f>1000+650</f>
        <v>1650</v>
      </c>
      <c r="AA138" s="293">
        <f>2000-750</f>
        <v>1250</v>
      </c>
      <c r="AB138" s="293"/>
      <c r="AC138" s="294"/>
    </row>
    <row r="139" spans="1:29" s="254" customFormat="1" ht="21.25" hidden="1" customHeight="1" x14ac:dyDescent="0.2">
      <c r="A139" s="1312"/>
      <c r="B139" s="1275"/>
      <c r="C139" s="1275"/>
      <c r="D139" s="1275"/>
      <c r="E139" s="1292" t="s">
        <v>196</v>
      </c>
      <c r="F139" s="1322"/>
      <c r="G139" s="1334" t="s">
        <v>197</v>
      </c>
      <c r="H139" s="1327" t="s">
        <v>198</v>
      </c>
      <c r="I139" s="279" t="s">
        <v>72</v>
      </c>
      <c r="J139" s="280">
        <f t="shared" si="100"/>
        <v>450</v>
      </c>
      <c r="K139" s="281">
        <f t="shared" si="100"/>
        <v>450</v>
      </c>
      <c r="L139" s="282">
        <f t="shared" si="100"/>
        <v>0</v>
      </c>
      <c r="M139" s="282">
        <f t="shared" si="100"/>
        <v>0</v>
      </c>
      <c r="N139" s="283">
        <f t="shared" si="100"/>
        <v>0</v>
      </c>
      <c r="O139" s="284">
        <f t="shared" si="94"/>
        <v>0</v>
      </c>
      <c r="P139" s="281"/>
      <c r="Q139" s="282"/>
      <c r="R139" s="282"/>
      <c r="S139" s="285"/>
      <c r="T139" s="280">
        <f t="shared" si="87"/>
        <v>100</v>
      </c>
      <c r="U139" s="352">
        <f>200-100</f>
        <v>100</v>
      </c>
      <c r="V139" s="353"/>
      <c r="W139" s="353"/>
      <c r="X139" s="354"/>
      <c r="Y139" s="284">
        <f t="shared" si="88"/>
        <v>350</v>
      </c>
      <c r="Z139" s="281">
        <f>750-250-150</f>
        <v>350</v>
      </c>
      <c r="AA139" s="282"/>
      <c r="AB139" s="282"/>
      <c r="AC139" s="283"/>
    </row>
    <row r="140" spans="1:29" s="434" customFormat="1" ht="21.25" hidden="1" customHeight="1" x14ac:dyDescent="0.15">
      <c r="A140" s="1313"/>
      <c r="B140" s="1276"/>
      <c r="C140" s="1276"/>
      <c r="D140" s="1276"/>
      <c r="E140" s="1293"/>
      <c r="F140" s="1323"/>
      <c r="G140" s="1335"/>
      <c r="H140" s="1336"/>
      <c r="I140" s="290" t="s">
        <v>73</v>
      </c>
      <c r="J140" s="291">
        <f t="shared" si="100"/>
        <v>450</v>
      </c>
      <c r="K140" s="292">
        <f t="shared" si="100"/>
        <v>450</v>
      </c>
      <c r="L140" s="293">
        <f t="shared" si="100"/>
        <v>0</v>
      </c>
      <c r="M140" s="293">
        <f t="shared" si="100"/>
        <v>0</v>
      </c>
      <c r="N140" s="294">
        <f t="shared" si="100"/>
        <v>0</v>
      </c>
      <c r="O140" s="295">
        <f t="shared" si="94"/>
        <v>0</v>
      </c>
      <c r="P140" s="292"/>
      <c r="Q140" s="293"/>
      <c r="R140" s="293"/>
      <c r="S140" s="296"/>
      <c r="T140" s="291">
        <f t="shared" si="87"/>
        <v>100</v>
      </c>
      <c r="U140" s="356">
        <f>200-100</f>
        <v>100</v>
      </c>
      <c r="V140" s="357"/>
      <c r="W140" s="357"/>
      <c r="X140" s="358"/>
      <c r="Y140" s="295">
        <f t="shared" si="88"/>
        <v>350</v>
      </c>
      <c r="Z140" s="292">
        <f>750-250-150</f>
        <v>350</v>
      </c>
      <c r="AA140" s="293"/>
      <c r="AB140" s="293"/>
      <c r="AC140" s="294"/>
    </row>
    <row r="141" spans="1:29" s="435" customFormat="1" hidden="1" x14ac:dyDescent="0.2">
      <c r="A141" s="1312"/>
      <c r="B141" s="1275"/>
      <c r="C141" s="1275"/>
      <c r="D141" s="1275"/>
      <c r="E141" s="1277" t="s">
        <v>128</v>
      </c>
      <c r="F141" s="1322"/>
      <c r="G141" s="1318" t="s">
        <v>199</v>
      </c>
      <c r="H141" s="1316" t="s">
        <v>200</v>
      </c>
      <c r="I141" s="199" t="s">
        <v>72</v>
      </c>
      <c r="J141" s="315">
        <f t="shared" ref="J141:AC142" si="101">J143+J145+J147+J149+J151</f>
        <v>14050</v>
      </c>
      <c r="K141" s="316">
        <f t="shared" si="101"/>
        <v>14050</v>
      </c>
      <c r="L141" s="317">
        <f t="shared" si="101"/>
        <v>0</v>
      </c>
      <c r="M141" s="317">
        <f t="shared" si="101"/>
        <v>0</v>
      </c>
      <c r="N141" s="318">
        <f t="shared" si="101"/>
        <v>0</v>
      </c>
      <c r="O141" s="319">
        <f t="shared" si="101"/>
        <v>0</v>
      </c>
      <c r="P141" s="320">
        <f t="shared" si="101"/>
        <v>0</v>
      </c>
      <c r="Q141" s="321">
        <f t="shared" si="101"/>
        <v>0</v>
      </c>
      <c r="R141" s="321">
        <f t="shared" si="101"/>
        <v>0</v>
      </c>
      <c r="S141" s="322">
        <f t="shared" si="101"/>
        <v>0</v>
      </c>
      <c r="T141" s="323">
        <f t="shared" si="101"/>
        <v>1050</v>
      </c>
      <c r="U141" s="324">
        <f t="shared" si="101"/>
        <v>1050</v>
      </c>
      <c r="V141" s="325">
        <f t="shared" si="101"/>
        <v>0</v>
      </c>
      <c r="W141" s="325">
        <f t="shared" si="101"/>
        <v>0</v>
      </c>
      <c r="X141" s="428">
        <f t="shared" si="101"/>
        <v>0</v>
      </c>
      <c r="Y141" s="429">
        <f t="shared" si="101"/>
        <v>13000</v>
      </c>
      <c r="Z141" s="328">
        <f t="shared" si="101"/>
        <v>13000</v>
      </c>
      <c r="AA141" s="329">
        <f t="shared" si="101"/>
        <v>0</v>
      </c>
      <c r="AB141" s="329">
        <f t="shared" si="101"/>
        <v>0</v>
      </c>
      <c r="AC141" s="330">
        <f t="shared" si="101"/>
        <v>0</v>
      </c>
    </row>
    <row r="142" spans="1:29" s="253" customFormat="1" hidden="1" x14ac:dyDescent="0.2">
      <c r="A142" s="1313"/>
      <c r="B142" s="1276"/>
      <c r="C142" s="1276"/>
      <c r="D142" s="1276"/>
      <c r="E142" s="1278"/>
      <c r="F142" s="1323"/>
      <c r="G142" s="1319"/>
      <c r="H142" s="1317"/>
      <c r="I142" s="331" t="s">
        <v>73</v>
      </c>
      <c r="J142" s="332">
        <f t="shared" si="101"/>
        <v>14050</v>
      </c>
      <c r="K142" s="333">
        <f t="shared" si="101"/>
        <v>5625</v>
      </c>
      <c r="L142" s="334">
        <f t="shared" si="101"/>
        <v>2625</v>
      </c>
      <c r="M142" s="334">
        <f t="shared" si="101"/>
        <v>2775</v>
      </c>
      <c r="N142" s="335">
        <f t="shared" si="101"/>
        <v>3025</v>
      </c>
      <c r="O142" s="336">
        <f t="shared" si="101"/>
        <v>0</v>
      </c>
      <c r="P142" s="337">
        <f t="shared" si="101"/>
        <v>0</v>
      </c>
      <c r="Q142" s="338">
        <f t="shared" si="101"/>
        <v>0</v>
      </c>
      <c r="R142" s="338">
        <f t="shared" si="101"/>
        <v>0</v>
      </c>
      <c r="S142" s="339">
        <f t="shared" si="101"/>
        <v>0</v>
      </c>
      <c r="T142" s="340">
        <f t="shared" si="101"/>
        <v>1050</v>
      </c>
      <c r="U142" s="341">
        <f t="shared" si="101"/>
        <v>600</v>
      </c>
      <c r="V142" s="342">
        <f t="shared" si="101"/>
        <v>150</v>
      </c>
      <c r="W142" s="342">
        <f t="shared" si="101"/>
        <v>150</v>
      </c>
      <c r="X142" s="432">
        <f t="shared" si="101"/>
        <v>150</v>
      </c>
      <c r="Y142" s="433">
        <f t="shared" si="101"/>
        <v>13000</v>
      </c>
      <c r="Z142" s="345">
        <f t="shared" si="101"/>
        <v>5025</v>
      </c>
      <c r="AA142" s="346">
        <f t="shared" si="101"/>
        <v>2475</v>
      </c>
      <c r="AB142" s="346">
        <f t="shared" si="101"/>
        <v>2625</v>
      </c>
      <c r="AC142" s="347">
        <f t="shared" si="101"/>
        <v>2875</v>
      </c>
    </row>
    <row r="143" spans="1:29" s="254" customFormat="1" hidden="1" x14ac:dyDescent="0.2">
      <c r="A143" s="1312"/>
      <c r="B143" s="1275"/>
      <c r="C143" s="1275"/>
      <c r="D143" s="1275"/>
      <c r="E143" s="1275"/>
      <c r="F143" s="1314" t="s">
        <v>74</v>
      </c>
      <c r="G143" s="1308" t="s">
        <v>201</v>
      </c>
      <c r="H143" s="1310" t="s">
        <v>202</v>
      </c>
      <c r="I143" s="279" t="s">
        <v>72</v>
      </c>
      <c r="J143" s="280">
        <f t="shared" ref="J143:N152" si="102">O143+T143+Y143</f>
        <v>400</v>
      </c>
      <c r="K143" s="281">
        <f t="shared" si="102"/>
        <v>400</v>
      </c>
      <c r="L143" s="282">
        <f t="shared" si="102"/>
        <v>0</v>
      </c>
      <c r="M143" s="282">
        <f t="shared" si="102"/>
        <v>0</v>
      </c>
      <c r="N143" s="283">
        <f t="shared" si="102"/>
        <v>0</v>
      </c>
      <c r="O143" s="284">
        <f t="shared" ref="O143:O152" si="103">P143+Q143+R143+S143</f>
        <v>0</v>
      </c>
      <c r="P143" s="281"/>
      <c r="Q143" s="282"/>
      <c r="R143" s="282"/>
      <c r="S143" s="285"/>
      <c r="T143" s="286">
        <f>U143+V143+W143+X143</f>
        <v>200</v>
      </c>
      <c r="U143" s="287">
        <f>500-300</f>
        <v>200</v>
      </c>
      <c r="V143" s="288"/>
      <c r="W143" s="288"/>
      <c r="X143" s="430"/>
      <c r="Y143" s="284">
        <f>Z143+AA143+AB143+AC143</f>
        <v>200</v>
      </c>
      <c r="Z143" s="281">
        <f>300-50-50</f>
        <v>200</v>
      </c>
      <c r="AA143" s="282"/>
      <c r="AB143" s="282"/>
      <c r="AC143" s="283"/>
    </row>
    <row r="144" spans="1:29" s="253" customFormat="1" hidden="1" x14ac:dyDescent="0.2">
      <c r="A144" s="1313"/>
      <c r="B144" s="1276"/>
      <c r="C144" s="1276"/>
      <c r="D144" s="1276"/>
      <c r="E144" s="1276"/>
      <c r="F144" s="1315"/>
      <c r="G144" s="1309"/>
      <c r="H144" s="1311"/>
      <c r="I144" s="290" t="s">
        <v>73</v>
      </c>
      <c r="J144" s="291">
        <f t="shared" si="102"/>
        <v>400</v>
      </c>
      <c r="K144" s="292">
        <f t="shared" si="102"/>
        <v>400</v>
      </c>
      <c r="L144" s="293">
        <f t="shared" si="102"/>
        <v>0</v>
      </c>
      <c r="M144" s="293">
        <f t="shared" si="102"/>
        <v>0</v>
      </c>
      <c r="N144" s="294">
        <f t="shared" si="102"/>
        <v>0</v>
      </c>
      <c r="O144" s="295">
        <f t="shared" si="103"/>
        <v>0</v>
      </c>
      <c r="P144" s="292"/>
      <c r="Q144" s="293"/>
      <c r="R144" s="293"/>
      <c r="S144" s="296"/>
      <c r="T144" s="297">
        <f t="shared" si="87"/>
        <v>200</v>
      </c>
      <c r="U144" s="298">
        <f>500-300</f>
        <v>200</v>
      </c>
      <c r="V144" s="299"/>
      <c r="W144" s="299"/>
      <c r="X144" s="431"/>
      <c r="Y144" s="295">
        <f t="shared" si="88"/>
        <v>200</v>
      </c>
      <c r="Z144" s="292">
        <f>300-50-50</f>
        <v>200</v>
      </c>
      <c r="AA144" s="293"/>
      <c r="AB144" s="293"/>
      <c r="AC144" s="294"/>
    </row>
    <row r="145" spans="1:29" s="254" customFormat="1" hidden="1" x14ac:dyDescent="0.2">
      <c r="A145" s="1312"/>
      <c r="B145" s="1275"/>
      <c r="C145" s="1275"/>
      <c r="D145" s="1275"/>
      <c r="E145" s="1275"/>
      <c r="F145" s="1314" t="s">
        <v>131</v>
      </c>
      <c r="G145" s="1308" t="s">
        <v>203</v>
      </c>
      <c r="H145" s="1310" t="s">
        <v>204</v>
      </c>
      <c r="I145" s="279" t="s">
        <v>72</v>
      </c>
      <c r="J145" s="280">
        <f t="shared" si="102"/>
        <v>50</v>
      </c>
      <c r="K145" s="281">
        <f t="shared" si="102"/>
        <v>50</v>
      </c>
      <c r="L145" s="282">
        <f t="shared" si="102"/>
        <v>0</v>
      </c>
      <c r="M145" s="282">
        <f t="shared" si="102"/>
        <v>0</v>
      </c>
      <c r="N145" s="283">
        <f t="shared" si="102"/>
        <v>0</v>
      </c>
      <c r="O145" s="284">
        <f t="shared" si="103"/>
        <v>0</v>
      </c>
      <c r="P145" s="281"/>
      <c r="Q145" s="282"/>
      <c r="R145" s="282"/>
      <c r="S145" s="285"/>
      <c r="T145" s="286">
        <f t="shared" si="87"/>
        <v>0</v>
      </c>
      <c r="U145" s="287"/>
      <c r="V145" s="288"/>
      <c r="W145" s="288"/>
      <c r="X145" s="430"/>
      <c r="Y145" s="284">
        <f t="shared" si="88"/>
        <v>50</v>
      </c>
      <c r="Z145" s="281">
        <v>50</v>
      </c>
      <c r="AA145" s="282"/>
      <c r="AB145" s="282"/>
      <c r="AC145" s="283"/>
    </row>
    <row r="146" spans="1:29" s="253" customFormat="1" hidden="1" x14ac:dyDescent="0.2">
      <c r="A146" s="1313"/>
      <c r="B146" s="1276"/>
      <c r="C146" s="1276"/>
      <c r="D146" s="1276"/>
      <c r="E146" s="1276"/>
      <c r="F146" s="1315"/>
      <c r="G146" s="1309"/>
      <c r="H146" s="1311"/>
      <c r="I146" s="290" t="s">
        <v>73</v>
      </c>
      <c r="J146" s="291">
        <f t="shared" si="102"/>
        <v>50</v>
      </c>
      <c r="K146" s="292">
        <f t="shared" si="102"/>
        <v>50</v>
      </c>
      <c r="L146" s="293">
        <f t="shared" si="102"/>
        <v>0</v>
      </c>
      <c r="M146" s="293">
        <f t="shared" si="102"/>
        <v>0</v>
      </c>
      <c r="N146" s="294">
        <f t="shared" si="102"/>
        <v>0</v>
      </c>
      <c r="O146" s="295">
        <f t="shared" si="103"/>
        <v>0</v>
      </c>
      <c r="P146" s="292"/>
      <c r="Q146" s="293"/>
      <c r="R146" s="293"/>
      <c r="S146" s="296"/>
      <c r="T146" s="297">
        <f t="shared" si="87"/>
        <v>0</v>
      </c>
      <c r="U146" s="298"/>
      <c r="V146" s="299"/>
      <c r="W146" s="299"/>
      <c r="X146" s="431"/>
      <c r="Y146" s="295">
        <f t="shared" si="88"/>
        <v>50</v>
      </c>
      <c r="Z146" s="292">
        <v>50</v>
      </c>
      <c r="AA146" s="293"/>
      <c r="AB146" s="293"/>
      <c r="AC146" s="294"/>
    </row>
    <row r="147" spans="1:29" s="254" customFormat="1" hidden="1" x14ac:dyDescent="0.2">
      <c r="A147" s="1312"/>
      <c r="B147" s="1275"/>
      <c r="C147" s="1275"/>
      <c r="D147" s="1275"/>
      <c r="E147" s="1275"/>
      <c r="F147" s="1314" t="s">
        <v>66</v>
      </c>
      <c r="G147" s="1308" t="s">
        <v>205</v>
      </c>
      <c r="H147" s="1310" t="s">
        <v>206</v>
      </c>
      <c r="I147" s="279" t="s">
        <v>72</v>
      </c>
      <c r="J147" s="280">
        <f t="shared" si="102"/>
        <v>950</v>
      </c>
      <c r="K147" s="281">
        <f t="shared" si="102"/>
        <v>950</v>
      </c>
      <c r="L147" s="282">
        <f t="shared" si="102"/>
        <v>0</v>
      </c>
      <c r="M147" s="282">
        <f t="shared" si="102"/>
        <v>0</v>
      </c>
      <c r="N147" s="283">
        <f t="shared" si="102"/>
        <v>0</v>
      </c>
      <c r="O147" s="284">
        <f t="shared" si="103"/>
        <v>0</v>
      </c>
      <c r="P147" s="281"/>
      <c r="Q147" s="282"/>
      <c r="R147" s="282"/>
      <c r="S147" s="285"/>
      <c r="T147" s="286">
        <f t="shared" si="87"/>
        <v>150</v>
      </c>
      <c r="U147" s="287">
        <v>150</v>
      </c>
      <c r="V147" s="288"/>
      <c r="W147" s="288"/>
      <c r="X147" s="430"/>
      <c r="Y147" s="284">
        <f t="shared" si="88"/>
        <v>800</v>
      </c>
      <c r="Z147" s="281">
        <f>900-100</f>
        <v>800</v>
      </c>
      <c r="AA147" s="282"/>
      <c r="AB147" s="282"/>
      <c r="AC147" s="283"/>
    </row>
    <row r="148" spans="1:29" s="253" customFormat="1" hidden="1" x14ac:dyDescent="0.2">
      <c r="A148" s="1313"/>
      <c r="B148" s="1276"/>
      <c r="C148" s="1276"/>
      <c r="D148" s="1276"/>
      <c r="E148" s="1276"/>
      <c r="F148" s="1315"/>
      <c r="G148" s="1309"/>
      <c r="H148" s="1311"/>
      <c r="I148" s="290" t="s">
        <v>73</v>
      </c>
      <c r="J148" s="291">
        <f t="shared" si="102"/>
        <v>950</v>
      </c>
      <c r="K148" s="292">
        <f t="shared" si="102"/>
        <v>950</v>
      </c>
      <c r="L148" s="293">
        <f t="shared" si="102"/>
        <v>0</v>
      </c>
      <c r="M148" s="293">
        <f t="shared" si="102"/>
        <v>0</v>
      </c>
      <c r="N148" s="294">
        <f t="shared" si="102"/>
        <v>0</v>
      </c>
      <c r="O148" s="295">
        <f t="shared" si="103"/>
        <v>0</v>
      </c>
      <c r="P148" s="292"/>
      <c r="Q148" s="293"/>
      <c r="R148" s="293"/>
      <c r="S148" s="296"/>
      <c r="T148" s="297">
        <f t="shared" si="87"/>
        <v>150</v>
      </c>
      <c r="U148" s="298">
        <v>150</v>
      </c>
      <c r="V148" s="299"/>
      <c r="W148" s="299"/>
      <c r="X148" s="431"/>
      <c r="Y148" s="295">
        <f t="shared" si="88"/>
        <v>800</v>
      </c>
      <c r="Z148" s="292">
        <v>800</v>
      </c>
      <c r="AA148" s="293"/>
      <c r="AB148" s="293"/>
      <c r="AC148" s="294"/>
    </row>
    <row r="149" spans="1:29" s="254" customFormat="1" hidden="1" x14ac:dyDescent="0.2">
      <c r="A149" s="1312"/>
      <c r="B149" s="1275"/>
      <c r="C149" s="1275"/>
      <c r="D149" s="1275"/>
      <c r="E149" s="1275"/>
      <c r="F149" s="1314" t="s">
        <v>146</v>
      </c>
      <c r="G149" s="1308" t="s">
        <v>207</v>
      </c>
      <c r="H149" s="1310" t="s">
        <v>208</v>
      </c>
      <c r="I149" s="279" t="s">
        <v>72</v>
      </c>
      <c r="J149" s="280">
        <f t="shared" si="102"/>
        <v>11050</v>
      </c>
      <c r="K149" s="281">
        <f t="shared" si="102"/>
        <v>11050</v>
      </c>
      <c r="L149" s="282">
        <f t="shared" si="102"/>
        <v>0</v>
      </c>
      <c r="M149" s="282">
        <f t="shared" si="102"/>
        <v>0</v>
      </c>
      <c r="N149" s="283">
        <f t="shared" si="102"/>
        <v>0</v>
      </c>
      <c r="O149" s="284">
        <f t="shared" si="103"/>
        <v>0</v>
      </c>
      <c r="P149" s="281"/>
      <c r="Q149" s="282"/>
      <c r="R149" s="282"/>
      <c r="S149" s="285"/>
      <c r="T149" s="286">
        <f t="shared" si="87"/>
        <v>600</v>
      </c>
      <c r="U149" s="287">
        <f>1000-200-200</f>
        <v>600</v>
      </c>
      <c r="V149" s="288"/>
      <c r="W149" s="288"/>
      <c r="X149" s="430"/>
      <c r="Y149" s="284">
        <f t="shared" si="88"/>
        <v>10450</v>
      </c>
      <c r="Z149" s="281">
        <f>11500-800-250</f>
        <v>10450</v>
      </c>
      <c r="AA149" s="282"/>
      <c r="AB149" s="282"/>
      <c r="AC149" s="283"/>
    </row>
    <row r="150" spans="1:29" s="253" customFormat="1" hidden="1" x14ac:dyDescent="0.2">
      <c r="A150" s="1313"/>
      <c r="B150" s="1276"/>
      <c r="C150" s="1276"/>
      <c r="D150" s="1276"/>
      <c r="E150" s="1276"/>
      <c r="F150" s="1315"/>
      <c r="G150" s="1309"/>
      <c r="H150" s="1311"/>
      <c r="I150" s="290" t="s">
        <v>73</v>
      </c>
      <c r="J150" s="291">
        <f t="shared" si="102"/>
        <v>11050</v>
      </c>
      <c r="K150" s="292">
        <f t="shared" si="102"/>
        <v>2625</v>
      </c>
      <c r="L150" s="293">
        <f t="shared" si="102"/>
        <v>2625</v>
      </c>
      <c r="M150" s="293">
        <f t="shared" si="102"/>
        <v>2775</v>
      </c>
      <c r="N150" s="294">
        <f t="shared" si="102"/>
        <v>3025</v>
      </c>
      <c r="O150" s="295">
        <f t="shared" si="103"/>
        <v>0</v>
      </c>
      <c r="P150" s="292"/>
      <c r="Q150" s="293"/>
      <c r="R150" s="293"/>
      <c r="S150" s="296"/>
      <c r="T150" s="297">
        <f t="shared" si="87"/>
        <v>600</v>
      </c>
      <c r="U150" s="298">
        <f>250-100</f>
        <v>150</v>
      </c>
      <c r="V150" s="299">
        <f>250-100</f>
        <v>150</v>
      </c>
      <c r="W150" s="299">
        <f>250-100</f>
        <v>150</v>
      </c>
      <c r="X150" s="431">
        <f>250-100</f>
        <v>150</v>
      </c>
      <c r="Y150" s="295">
        <f t="shared" si="88"/>
        <v>10450</v>
      </c>
      <c r="Z150" s="292">
        <f>2875-400</f>
        <v>2475</v>
      </c>
      <c r="AA150" s="293">
        <f>2875-400</f>
        <v>2475</v>
      </c>
      <c r="AB150" s="293">
        <f>2875-250</f>
        <v>2625</v>
      </c>
      <c r="AC150" s="294">
        <v>2875</v>
      </c>
    </row>
    <row r="151" spans="1:29" s="254" customFormat="1" hidden="1" x14ac:dyDescent="0.2">
      <c r="A151" s="1312"/>
      <c r="B151" s="1275"/>
      <c r="C151" s="1275"/>
      <c r="D151" s="1275"/>
      <c r="E151" s="1275"/>
      <c r="F151" s="1314" t="s">
        <v>128</v>
      </c>
      <c r="G151" s="1308" t="s">
        <v>209</v>
      </c>
      <c r="H151" s="1310" t="s">
        <v>210</v>
      </c>
      <c r="I151" s="279" t="s">
        <v>72</v>
      </c>
      <c r="J151" s="361">
        <f t="shared" si="102"/>
        <v>1600</v>
      </c>
      <c r="K151" s="362">
        <f t="shared" si="102"/>
        <v>1600</v>
      </c>
      <c r="L151" s="363">
        <f t="shared" si="102"/>
        <v>0</v>
      </c>
      <c r="M151" s="363">
        <f t="shared" si="102"/>
        <v>0</v>
      </c>
      <c r="N151" s="364">
        <f t="shared" si="102"/>
        <v>0</v>
      </c>
      <c r="O151" s="365">
        <f t="shared" si="103"/>
        <v>0</v>
      </c>
      <c r="P151" s="362"/>
      <c r="Q151" s="363"/>
      <c r="R151" s="363"/>
      <c r="S151" s="366"/>
      <c r="T151" s="367">
        <f t="shared" si="87"/>
        <v>100</v>
      </c>
      <c r="U151" s="368">
        <f>200-100</f>
        <v>100</v>
      </c>
      <c r="V151" s="369"/>
      <c r="W151" s="369"/>
      <c r="X151" s="370"/>
      <c r="Y151" s="365">
        <f t="shared" si="88"/>
        <v>1500</v>
      </c>
      <c r="Z151" s="362">
        <f>3000-1000-500</f>
        <v>1500</v>
      </c>
      <c r="AA151" s="363"/>
      <c r="AB151" s="363"/>
      <c r="AC151" s="364"/>
    </row>
    <row r="152" spans="1:29" s="253" customFormat="1" ht="16" hidden="1" thickBot="1" x14ac:dyDescent="0.25">
      <c r="A152" s="1332"/>
      <c r="B152" s="1307"/>
      <c r="C152" s="1307"/>
      <c r="D152" s="1307"/>
      <c r="E152" s="1307"/>
      <c r="F152" s="1337"/>
      <c r="G152" s="1326"/>
      <c r="H152" s="1338"/>
      <c r="I152" s="372" t="s">
        <v>73</v>
      </c>
      <c r="J152" s="373">
        <f t="shared" si="102"/>
        <v>1600</v>
      </c>
      <c r="K152" s="374">
        <f t="shared" si="102"/>
        <v>1600</v>
      </c>
      <c r="L152" s="375">
        <f t="shared" si="102"/>
        <v>0</v>
      </c>
      <c r="M152" s="375">
        <f t="shared" si="102"/>
        <v>0</v>
      </c>
      <c r="N152" s="376">
        <f t="shared" si="102"/>
        <v>0</v>
      </c>
      <c r="O152" s="377">
        <f t="shared" si="103"/>
        <v>0</v>
      </c>
      <c r="P152" s="374"/>
      <c r="Q152" s="375"/>
      <c r="R152" s="375"/>
      <c r="S152" s="378"/>
      <c r="T152" s="379">
        <f t="shared" si="87"/>
        <v>100</v>
      </c>
      <c r="U152" s="380">
        <f>200-100</f>
        <v>100</v>
      </c>
      <c r="V152" s="381"/>
      <c r="W152" s="381"/>
      <c r="X152" s="382"/>
      <c r="Y152" s="377">
        <f t="shared" si="88"/>
        <v>1500</v>
      </c>
      <c r="Z152" s="374">
        <f>3000-1000-500</f>
        <v>1500</v>
      </c>
      <c r="AA152" s="375"/>
      <c r="AB152" s="375"/>
      <c r="AC152" s="376"/>
    </row>
    <row r="153" spans="1:29" s="453" customFormat="1" ht="15" hidden="1" customHeight="1" x14ac:dyDescent="0.2">
      <c r="A153" s="1360"/>
      <c r="B153" s="1283"/>
      <c r="C153" s="1283"/>
      <c r="D153" s="1361" t="s">
        <v>82</v>
      </c>
      <c r="E153" s="1362" t="s">
        <v>74</v>
      </c>
      <c r="F153" s="1267"/>
      <c r="G153" s="1353" t="s">
        <v>83</v>
      </c>
      <c r="H153" s="1355" t="s">
        <v>211</v>
      </c>
      <c r="I153" s="436" t="s">
        <v>72</v>
      </c>
      <c r="J153" s="437">
        <f>J155+J157</f>
        <v>439439</v>
      </c>
      <c r="K153" s="438">
        <f>K155+K157</f>
        <v>439439</v>
      </c>
      <c r="L153" s="439">
        <f t="shared" ref="L153:N154" si="104">L155+L157</f>
        <v>0</v>
      </c>
      <c r="M153" s="439">
        <f t="shared" si="104"/>
        <v>0</v>
      </c>
      <c r="N153" s="440">
        <f t="shared" si="104"/>
        <v>0</v>
      </c>
      <c r="O153" s="441">
        <f>O155+O157</f>
        <v>0</v>
      </c>
      <c r="P153" s="442">
        <f>P155+P157</f>
        <v>0</v>
      </c>
      <c r="Q153" s="443">
        <f t="shared" ref="Q153:S154" si="105">Q155+Q157</f>
        <v>0</v>
      </c>
      <c r="R153" s="443">
        <f t="shared" si="105"/>
        <v>0</v>
      </c>
      <c r="S153" s="444">
        <f t="shared" si="105"/>
        <v>0</v>
      </c>
      <c r="T153" s="445">
        <f>T155+T157</f>
        <v>439439</v>
      </c>
      <c r="U153" s="446">
        <f>U155+U157</f>
        <v>439439</v>
      </c>
      <c r="V153" s="447">
        <f t="shared" ref="V153:X154" si="106">V155+V157</f>
        <v>0</v>
      </c>
      <c r="W153" s="447">
        <f t="shared" si="106"/>
        <v>0</v>
      </c>
      <c r="X153" s="448">
        <f t="shared" si="106"/>
        <v>0</v>
      </c>
      <c r="Y153" s="449">
        <f>Y155+Y157</f>
        <v>0</v>
      </c>
      <c r="Z153" s="450">
        <f>Z155+Z157</f>
        <v>0</v>
      </c>
      <c r="AA153" s="451">
        <f t="shared" ref="AA153:AC154" si="107">AA155+AA157</f>
        <v>0</v>
      </c>
      <c r="AB153" s="451">
        <f t="shared" si="107"/>
        <v>0</v>
      </c>
      <c r="AC153" s="452">
        <f t="shared" si="107"/>
        <v>0</v>
      </c>
    </row>
    <row r="154" spans="1:29" s="434" customFormat="1" hidden="1" x14ac:dyDescent="0.15">
      <c r="A154" s="1313"/>
      <c r="B154" s="1276"/>
      <c r="C154" s="1276"/>
      <c r="D154" s="1297"/>
      <c r="E154" s="1357"/>
      <c r="F154" s="1323"/>
      <c r="G154" s="1354"/>
      <c r="H154" s="1301"/>
      <c r="I154" s="331" t="s">
        <v>73</v>
      </c>
      <c r="J154" s="454">
        <f>J156+J158</f>
        <v>351846</v>
      </c>
      <c r="K154" s="455">
        <f>K156+K158</f>
        <v>116500</v>
      </c>
      <c r="L154" s="456">
        <f t="shared" si="104"/>
        <v>81500</v>
      </c>
      <c r="M154" s="456">
        <f t="shared" si="104"/>
        <v>64500</v>
      </c>
      <c r="N154" s="457">
        <f t="shared" si="104"/>
        <v>89346</v>
      </c>
      <c r="O154" s="458">
        <f>O156+O158</f>
        <v>0</v>
      </c>
      <c r="P154" s="459">
        <f>P156+P158</f>
        <v>0</v>
      </c>
      <c r="Q154" s="460">
        <f t="shared" si="105"/>
        <v>0</v>
      </c>
      <c r="R154" s="460">
        <f t="shared" si="105"/>
        <v>0</v>
      </c>
      <c r="S154" s="461">
        <f t="shared" si="105"/>
        <v>0</v>
      </c>
      <c r="T154" s="462">
        <f>T156+T158</f>
        <v>351846</v>
      </c>
      <c r="U154" s="463">
        <f>U156+U158</f>
        <v>116500</v>
      </c>
      <c r="V154" s="464">
        <f t="shared" si="106"/>
        <v>81500</v>
      </c>
      <c r="W154" s="464">
        <f t="shared" si="106"/>
        <v>64500</v>
      </c>
      <c r="X154" s="465">
        <f t="shared" si="106"/>
        <v>89346</v>
      </c>
      <c r="Y154" s="466">
        <f>Y156+Y158</f>
        <v>0</v>
      </c>
      <c r="Z154" s="467">
        <f>Z156+Z158</f>
        <v>0</v>
      </c>
      <c r="AA154" s="468">
        <f t="shared" si="107"/>
        <v>0</v>
      </c>
      <c r="AB154" s="468">
        <f t="shared" si="107"/>
        <v>0</v>
      </c>
      <c r="AC154" s="469">
        <f t="shared" si="107"/>
        <v>0</v>
      </c>
    </row>
    <row r="155" spans="1:29" s="482" customFormat="1" ht="15" hidden="1" customHeight="1" x14ac:dyDescent="0.2">
      <c r="A155" s="1312"/>
      <c r="B155" s="1275"/>
      <c r="C155" s="1275"/>
      <c r="D155" s="1275"/>
      <c r="E155" s="1275"/>
      <c r="F155" s="1356" t="s">
        <v>74</v>
      </c>
      <c r="G155" s="1339" t="s">
        <v>212</v>
      </c>
      <c r="H155" s="1341" t="s">
        <v>213</v>
      </c>
      <c r="I155" s="470" t="s">
        <v>72</v>
      </c>
      <c r="J155" s="471">
        <f t="shared" ref="J155:N158" si="108">O155+T155+Y155</f>
        <v>0</v>
      </c>
      <c r="K155" s="472">
        <f t="shared" si="108"/>
        <v>0</v>
      </c>
      <c r="L155" s="473">
        <f t="shared" si="108"/>
        <v>0</v>
      </c>
      <c r="M155" s="473">
        <f t="shared" si="108"/>
        <v>0</v>
      </c>
      <c r="N155" s="474">
        <f t="shared" si="108"/>
        <v>0</v>
      </c>
      <c r="O155" s="475">
        <f>P155+Q155+R155+S155</f>
        <v>0</v>
      </c>
      <c r="P155" s="472"/>
      <c r="Q155" s="473"/>
      <c r="R155" s="473"/>
      <c r="S155" s="476"/>
      <c r="T155" s="477">
        <f>U155+V155+W155+X155</f>
        <v>0</v>
      </c>
      <c r="U155" s="478"/>
      <c r="V155" s="479"/>
      <c r="W155" s="479"/>
      <c r="X155" s="480"/>
      <c r="Y155" s="475">
        <f>Z155+AA155+AB155+AC155</f>
        <v>0</v>
      </c>
      <c r="Z155" s="472"/>
      <c r="AA155" s="473"/>
      <c r="AB155" s="473"/>
      <c r="AC155" s="474"/>
    </row>
    <row r="156" spans="1:29" s="253" customFormat="1" ht="15" hidden="1" customHeight="1" x14ac:dyDescent="0.2">
      <c r="A156" s="1313"/>
      <c r="B156" s="1276"/>
      <c r="C156" s="1276"/>
      <c r="D156" s="1276"/>
      <c r="E156" s="1276"/>
      <c r="F156" s="1357"/>
      <c r="G156" s="1358"/>
      <c r="H156" s="1359"/>
      <c r="I156" s="290" t="s">
        <v>73</v>
      </c>
      <c r="J156" s="291">
        <f t="shared" si="108"/>
        <v>0</v>
      </c>
      <c r="K156" s="292">
        <f t="shared" si="108"/>
        <v>0</v>
      </c>
      <c r="L156" s="293">
        <f t="shared" si="108"/>
        <v>0</v>
      </c>
      <c r="M156" s="293">
        <f t="shared" si="108"/>
        <v>0</v>
      </c>
      <c r="N156" s="294">
        <f t="shared" si="108"/>
        <v>0</v>
      </c>
      <c r="O156" s="483">
        <f>P156+Q156+R156+S156</f>
        <v>0</v>
      </c>
      <c r="P156" s="292"/>
      <c r="Q156" s="293"/>
      <c r="R156" s="293"/>
      <c r="S156" s="296"/>
      <c r="T156" s="484">
        <f>U156+V156+W156+X156</f>
        <v>0</v>
      </c>
      <c r="U156" s="298"/>
      <c r="V156" s="299"/>
      <c r="W156" s="299"/>
      <c r="X156" s="431"/>
      <c r="Y156" s="483">
        <f>Z156+AA156+AB156+AC156</f>
        <v>0</v>
      </c>
      <c r="Z156" s="292"/>
      <c r="AA156" s="293"/>
      <c r="AB156" s="293"/>
      <c r="AC156" s="294"/>
    </row>
    <row r="157" spans="1:29" s="453" customFormat="1" ht="19.5" hidden="1" customHeight="1" x14ac:dyDescent="0.2">
      <c r="A157" s="1349"/>
      <c r="B157" s="1351"/>
      <c r="C157" s="1351"/>
      <c r="D157" s="1351"/>
      <c r="E157" s="1351"/>
      <c r="F157" s="1314">
        <v>67</v>
      </c>
      <c r="G157" s="1339" t="s">
        <v>214</v>
      </c>
      <c r="H157" s="1341" t="s">
        <v>215</v>
      </c>
      <c r="I157" s="485" t="s">
        <v>72</v>
      </c>
      <c r="J157" s="471">
        <f t="shared" si="108"/>
        <v>439439</v>
      </c>
      <c r="K157" s="472">
        <f t="shared" si="108"/>
        <v>439439</v>
      </c>
      <c r="L157" s="473">
        <f t="shared" si="108"/>
        <v>0</v>
      </c>
      <c r="M157" s="473">
        <f t="shared" si="108"/>
        <v>0</v>
      </c>
      <c r="N157" s="474">
        <f t="shared" si="108"/>
        <v>0</v>
      </c>
      <c r="O157" s="475">
        <f>P157+Q157+R157+S157</f>
        <v>0</v>
      </c>
      <c r="P157" s="472"/>
      <c r="Q157" s="473"/>
      <c r="R157" s="473"/>
      <c r="S157" s="476"/>
      <c r="T157" s="477">
        <f>U157+V157+W157+X157</f>
        <v>439439</v>
      </c>
      <c r="U157" s="486">
        <f>449439-10000</f>
        <v>439439</v>
      </c>
      <c r="V157" s="479"/>
      <c r="W157" s="479"/>
      <c r="X157" s="480"/>
      <c r="Y157" s="475">
        <f>Z157+AA157+AB157+AC157</f>
        <v>0</v>
      </c>
      <c r="Z157" s="472"/>
      <c r="AA157" s="473"/>
      <c r="AB157" s="473"/>
      <c r="AC157" s="474"/>
    </row>
    <row r="158" spans="1:29" s="434" customFormat="1" ht="22.75" hidden="1" customHeight="1" thickBot="1" x14ac:dyDescent="0.2">
      <c r="A158" s="1350"/>
      <c r="B158" s="1352"/>
      <c r="C158" s="1352"/>
      <c r="D158" s="1352"/>
      <c r="E158" s="1352"/>
      <c r="F158" s="1337"/>
      <c r="G158" s="1340"/>
      <c r="H158" s="1342"/>
      <c r="I158" s="487" t="s">
        <v>73</v>
      </c>
      <c r="J158" s="385">
        <f t="shared" si="108"/>
        <v>351846</v>
      </c>
      <c r="K158" s="386">
        <f t="shared" si="108"/>
        <v>116500</v>
      </c>
      <c r="L158" s="387">
        <f t="shared" si="108"/>
        <v>81500</v>
      </c>
      <c r="M158" s="387">
        <f t="shared" si="108"/>
        <v>64500</v>
      </c>
      <c r="N158" s="388">
        <f t="shared" si="108"/>
        <v>89346</v>
      </c>
      <c r="O158" s="488">
        <f>P158+Q158+R158+S158</f>
        <v>0</v>
      </c>
      <c r="P158" s="386"/>
      <c r="Q158" s="387"/>
      <c r="R158" s="387"/>
      <c r="S158" s="390"/>
      <c r="T158" s="489">
        <f>U158+V158+W158+X158</f>
        <v>351846</v>
      </c>
      <c r="U158" s="490">
        <f>139500-13000-10000</f>
        <v>116500</v>
      </c>
      <c r="V158" s="491">
        <f>152500-71000</f>
        <v>81500</v>
      </c>
      <c r="W158" s="491">
        <f>154500-90000</f>
        <v>64500</v>
      </c>
      <c r="X158" s="492">
        <f>155346-66000</f>
        <v>89346</v>
      </c>
      <c r="Y158" s="488">
        <f>Z158+AA158+AB158+AC158</f>
        <v>0</v>
      </c>
      <c r="Z158" s="386"/>
      <c r="AA158" s="387"/>
      <c r="AB158" s="387"/>
      <c r="AC158" s="388"/>
    </row>
    <row r="159" spans="1:29" s="482" customFormat="1" ht="22.75" hidden="1" customHeight="1" x14ac:dyDescent="0.2">
      <c r="A159" s="1343"/>
      <c r="B159" s="1345"/>
      <c r="C159" s="1345"/>
      <c r="D159" s="1347" t="s">
        <v>85</v>
      </c>
      <c r="E159" s="1345"/>
      <c r="F159" s="1345"/>
      <c r="G159" s="1289" t="s">
        <v>216</v>
      </c>
      <c r="H159" s="1348" t="s">
        <v>85</v>
      </c>
      <c r="I159" s="493" t="s">
        <v>72</v>
      </c>
      <c r="J159" s="437">
        <f>J161+J169</f>
        <v>1172746</v>
      </c>
      <c r="K159" s="438">
        <f>K161+K169</f>
        <v>1172746</v>
      </c>
      <c r="L159" s="439">
        <f t="shared" ref="L159:N160" si="109">L161+L169</f>
        <v>0</v>
      </c>
      <c r="M159" s="439">
        <f t="shared" si="109"/>
        <v>0</v>
      </c>
      <c r="N159" s="440">
        <f t="shared" si="109"/>
        <v>0</v>
      </c>
      <c r="O159" s="441">
        <f>O161+O169</f>
        <v>1172689</v>
      </c>
      <c r="P159" s="442">
        <f>P161+P169</f>
        <v>1172689</v>
      </c>
      <c r="Q159" s="443">
        <f t="shared" ref="Q159:S160" si="110">Q161+Q169</f>
        <v>0</v>
      </c>
      <c r="R159" s="443">
        <f t="shared" si="110"/>
        <v>0</v>
      </c>
      <c r="S159" s="444">
        <f t="shared" si="110"/>
        <v>0</v>
      </c>
      <c r="T159" s="445">
        <f>T161+T169</f>
        <v>0</v>
      </c>
      <c r="U159" s="446">
        <f>U161+U169</f>
        <v>0</v>
      </c>
      <c r="V159" s="447">
        <f t="shared" ref="V159:X160" si="111">V161+V169</f>
        <v>0</v>
      </c>
      <c r="W159" s="447">
        <f t="shared" si="111"/>
        <v>0</v>
      </c>
      <c r="X159" s="448">
        <f t="shared" si="111"/>
        <v>0</v>
      </c>
      <c r="Y159" s="449">
        <f>Y161+Y169</f>
        <v>57</v>
      </c>
      <c r="Z159" s="450">
        <f>Z161+Z169</f>
        <v>57</v>
      </c>
      <c r="AA159" s="451">
        <f t="shared" ref="AA159:AC160" si="112">AA161+AA169</f>
        <v>0</v>
      </c>
      <c r="AB159" s="451">
        <f t="shared" si="112"/>
        <v>0</v>
      </c>
      <c r="AC159" s="452">
        <f t="shared" si="112"/>
        <v>0</v>
      </c>
    </row>
    <row r="160" spans="1:29" s="253" customFormat="1" ht="22.75" hidden="1" customHeight="1" x14ac:dyDescent="0.2">
      <c r="A160" s="1344"/>
      <c r="B160" s="1346"/>
      <c r="C160" s="1346"/>
      <c r="D160" s="1293"/>
      <c r="E160" s="1346"/>
      <c r="F160" s="1346"/>
      <c r="G160" s="1280"/>
      <c r="H160" s="1295"/>
      <c r="I160" s="331" t="s">
        <v>73</v>
      </c>
      <c r="J160" s="494">
        <f>J162+J170</f>
        <v>61898</v>
      </c>
      <c r="K160" s="348">
        <f>K162+K170</f>
        <v>18401</v>
      </c>
      <c r="L160" s="349">
        <f t="shared" si="109"/>
        <v>15589</v>
      </c>
      <c r="M160" s="349">
        <f t="shared" si="109"/>
        <v>19661</v>
      </c>
      <c r="N160" s="350">
        <f t="shared" si="109"/>
        <v>8247</v>
      </c>
      <c r="O160" s="495">
        <f>O162+O170</f>
        <v>61800</v>
      </c>
      <c r="P160" s="496">
        <f>P162+P170</f>
        <v>18303</v>
      </c>
      <c r="Q160" s="497">
        <f t="shared" si="110"/>
        <v>15589</v>
      </c>
      <c r="R160" s="497">
        <f t="shared" si="110"/>
        <v>19661</v>
      </c>
      <c r="S160" s="498">
        <f t="shared" si="110"/>
        <v>8247</v>
      </c>
      <c r="T160" s="499">
        <f>T162+T170</f>
        <v>0</v>
      </c>
      <c r="U160" s="500">
        <f>U162+U170</f>
        <v>0</v>
      </c>
      <c r="V160" s="501">
        <f t="shared" si="111"/>
        <v>0</v>
      </c>
      <c r="W160" s="501">
        <f t="shared" si="111"/>
        <v>0</v>
      </c>
      <c r="X160" s="502">
        <f t="shared" si="111"/>
        <v>0</v>
      </c>
      <c r="Y160" s="503">
        <f>Y162+Y170</f>
        <v>98</v>
      </c>
      <c r="Z160" s="504">
        <f>Z162+Z170</f>
        <v>98</v>
      </c>
      <c r="AA160" s="505">
        <f t="shared" si="112"/>
        <v>0</v>
      </c>
      <c r="AB160" s="505">
        <f t="shared" si="112"/>
        <v>0</v>
      </c>
      <c r="AC160" s="506">
        <f t="shared" si="112"/>
        <v>0</v>
      </c>
    </row>
    <row r="161" spans="1:29" s="453" customFormat="1" ht="15" hidden="1" customHeight="1" x14ac:dyDescent="0.2">
      <c r="A161" s="1273"/>
      <c r="B161" s="1322"/>
      <c r="C161" s="1322"/>
      <c r="D161" s="1322"/>
      <c r="E161" s="1292" t="s">
        <v>74</v>
      </c>
      <c r="F161" s="1322"/>
      <c r="G161" s="1279" t="s">
        <v>217</v>
      </c>
      <c r="H161" s="1294" t="s">
        <v>218</v>
      </c>
      <c r="I161" s="493" t="s">
        <v>72</v>
      </c>
      <c r="J161" s="508">
        <f>K161+L161+M161+N161</f>
        <v>1172689</v>
      </c>
      <c r="K161" s="509">
        <f>K163+K165+K167</f>
        <v>1172689</v>
      </c>
      <c r="L161" s="510">
        <f t="shared" ref="L161:N162" si="113">L163+L165+L167</f>
        <v>0</v>
      </c>
      <c r="M161" s="510">
        <f t="shared" si="113"/>
        <v>0</v>
      </c>
      <c r="N161" s="511">
        <f t="shared" si="113"/>
        <v>0</v>
      </c>
      <c r="O161" s="512">
        <f>P161+Q161+R161+S161</f>
        <v>1172689</v>
      </c>
      <c r="P161" s="513">
        <f t="shared" ref="P161:R162" si="114">P163+P165+P167</f>
        <v>1172689</v>
      </c>
      <c r="Q161" s="514">
        <f t="shared" si="114"/>
        <v>0</v>
      </c>
      <c r="R161" s="514">
        <f t="shared" si="114"/>
        <v>0</v>
      </c>
      <c r="S161" s="515">
        <f>S163+S165+S167</f>
        <v>0</v>
      </c>
      <c r="T161" s="516">
        <f>U161+V161+W161+X161</f>
        <v>0</v>
      </c>
      <c r="U161" s="517">
        <f t="shared" ref="U161:W162" si="115">U163+U165+U167</f>
        <v>0</v>
      </c>
      <c r="V161" s="518">
        <f t="shared" si="115"/>
        <v>0</v>
      </c>
      <c r="W161" s="518">
        <f t="shared" si="115"/>
        <v>0</v>
      </c>
      <c r="X161" s="519">
        <f>X163+X165+X167</f>
        <v>0</v>
      </c>
      <c r="Y161" s="520">
        <f>Z161+AA161+AB161+AC161</f>
        <v>0</v>
      </c>
      <c r="Z161" s="521">
        <f t="shared" ref="Z161:AB162" si="116">Z163+Z165+Z167</f>
        <v>0</v>
      </c>
      <c r="AA161" s="522">
        <f t="shared" si="116"/>
        <v>0</v>
      </c>
      <c r="AB161" s="522">
        <f t="shared" si="116"/>
        <v>0</v>
      </c>
      <c r="AC161" s="523">
        <f>AC163+AC165+AC167</f>
        <v>0</v>
      </c>
    </row>
    <row r="162" spans="1:29" s="253" customFormat="1" hidden="1" x14ac:dyDescent="0.2">
      <c r="A162" s="1274"/>
      <c r="B162" s="1323"/>
      <c r="C162" s="1323"/>
      <c r="D162" s="1323"/>
      <c r="E162" s="1293"/>
      <c r="F162" s="1323"/>
      <c r="G162" s="1280"/>
      <c r="H162" s="1295"/>
      <c r="I162" s="331" t="s">
        <v>73</v>
      </c>
      <c r="J162" s="524">
        <f>K162+L162+M162+N162</f>
        <v>61800</v>
      </c>
      <c r="K162" s="525">
        <f>K164+K166+K168</f>
        <v>18303</v>
      </c>
      <c r="L162" s="526">
        <f t="shared" si="113"/>
        <v>15589</v>
      </c>
      <c r="M162" s="526">
        <f t="shared" si="113"/>
        <v>19661</v>
      </c>
      <c r="N162" s="527">
        <f t="shared" si="113"/>
        <v>8247</v>
      </c>
      <c r="O162" s="528">
        <f>P162+Q162+R162+S162</f>
        <v>61800</v>
      </c>
      <c r="P162" s="529">
        <f t="shared" si="114"/>
        <v>18303</v>
      </c>
      <c r="Q162" s="530">
        <f t="shared" si="114"/>
        <v>15589</v>
      </c>
      <c r="R162" s="530">
        <f t="shared" si="114"/>
        <v>19661</v>
      </c>
      <c r="S162" s="531">
        <f>S164+S166+S168</f>
        <v>8247</v>
      </c>
      <c r="T162" s="532">
        <f>U162+V162+W162+X162</f>
        <v>0</v>
      </c>
      <c r="U162" s="533">
        <f t="shared" si="115"/>
        <v>0</v>
      </c>
      <c r="V162" s="534">
        <f t="shared" si="115"/>
        <v>0</v>
      </c>
      <c r="W162" s="534">
        <f t="shared" si="115"/>
        <v>0</v>
      </c>
      <c r="X162" s="535">
        <f>X164+X166+X168</f>
        <v>0</v>
      </c>
      <c r="Y162" s="536">
        <f>Z162+AA162+AB162+AC162</f>
        <v>0</v>
      </c>
      <c r="Z162" s="537">
        <f t="shared" si="116"/>
        <v>0</v>
      </c>
      <c r="AA162" s="538">
        <f t="shared" si="116"/>
        <v>0</v>
      </c>
      <c r="AB162" s="538">
        <f t="shared" si="116"/>
        <v>0</v>
      </c>
      <c r="AC162" s="539">
        <f>AC164+AC166+AC168</f>
        <v>0</v>
      </c>
    </row>
    <row r="163" spans="1:29" s="453" customFormat="1" hidden="1" x14ac:dyDescent="0.2">
      <c r="A163" s="1273"/>
      <c r="B163" s="1322"/>
      <c r="C163" s="1322"/>
      <c r="D163" s="1322"/>
      <c r="E163" s="1322"/>
      <c r="F163" s="1320" t="s">
        <v>74</v>
      </c>
      <c r="G163" s="1308" t="s">
        <v>219</v>
      </c>
      <c r="H163" s="1327" t="s">
        <v>220</v>
      </c>
      <c r="I163" s="541" t="s">
        <v>72</v>
      </c>
      <c r="J163" s="542">
        <f t="shared" ref="J163:N168" si="117">O163+T163+Y163</f>
        <v>175903</v>
      </c>
      <c r="K163" s="543">
        <f t="shared" si="117"/>
        <v>175903</v>
      </c>
      <c r="L163" s="544">
        <f t="shared" si="117"/>
        <v>0</v>
      </c>
      <c r="M163" s="544">
        <f t="shared" si="117"/>
        <v>0</v>
      </c>
      <c r="N163" s="545">
        <f t="shared" si="117"/>
        <v>0</v>
      </c>
      <c r="O163" s="546">
        <f t="shared" ref="O163:O168" si="118">P163+Q163+R163+S163</f>
        <v>175903</v>
      </c>
      <c r="P163" s="472">
        <v>175903</v>
      </c>
      <c r="Q163" s="473"/>
      <c r="R163" s="473"/>
      <c r="S163" s="476"/>
      <c r="T163" s="542">
        <f t="shared" ref="T163:T168" si="119">U163+V163+W163+X163</f>
        <v>0</v>
      </c>
      <c r="U163" s="547"/>
      <c r="V163" s="544"/>
      <c r="W163" s="544"/>
      <c r="X163" s="545"/>
      <c r="Y163" s="546">
        <f t="shared" ref="Y163:Y168" si="120">Z163+AA163+AB163+AC163</f>
        <v>0</v>
      </c>
      <c r="Z163" s="472"/>
      <c r="AA163" s="473"/>
      <c r="AB163" s="473"/>
      <c r="AC163" s="474"/>
    </row>
    <row r="164" spans="1:29" s="253" customFormat="1" hidden="1" x14ac:dyDescent="0.2">
      <c r="A164" s="1274"/>
      <c r="B164" s="1323"/>
      <c r="C164" s="1323"/>
      <c r="D164" s="1323"/>
      <c r="E164" s="1323"/>
      <c r="F164" s="1321"/>
      <c r="G164" s="1309"/>
      <c r="H164" s="1336"/>
      <c r="I164" s="548" t="s">
        <v>73</v>
      </c>
      <c r="J164" s="549">
        <f t="shared" si="117"/>
        <v>9270</v>
      </c>
      <c r="K164" s="550">
        <f t="shared" si="117"/>
        <v>2745</v>
      </c>
      <c r="L164" s="551">
        <f t="shared" si="117"/>
        <v>2339</v>
      </c>
      <c r="M164" s="551">
        <f t="shared" si="117"/>
        <v>2949</v>
      </c>
      <c r="N164" s="552">
        <f t="shared" si="117"/>
        <v>1237</v>
      </c>
      <c r="O164" s="295">
        <f t="shared" si="118"/>
        <v>9270</v>
      </c>
      <c r="P164" s="292">
        <f>2949-204</f>
        <v>2745</v>
      </c>
      <c r="Q164" s="293">
        <f>2949-610</f>
        <v>2339</v>
      </c>
      <c r="R164" s="293">
        <f>2949</f>
        <v>2949</v>
      </c>
      <c r="S164" s="296">
        <f>2949-1712</f>
        <v>1237</v>
      </c>
      <c r="T164" s="549">
        <f t="shared" si="119"/>
        <v>0</v>
      </c>
      <c r="U164" s="553"/>
      <c r="V164" s="551"/>
      <c r="W164" s="551"/>
      <c r="X164" s="552"/>
      <c r="Y164" s="295">
        <f t="shared" si="120"/>
        <v>0</v>
      </c>
      <c r="Z164" s="292"/>
      <c r="AA164" s="293"/>
      <c r="AB164" s="293"/>
      <c r="AC164" s="294"/>
    </row>
    <row r="165" spans="1:29" s="453" customFormat="1" hidden="1" x14ac:dyDescent="0.2">
      <c r="A165" s="1273"/>
      <c r="B165" s="1322"/>
      <c r="C165" s="1322"/>
      <c r="D165" s="1322"/>
      <c r="E165" s="1322"/>
      <c r="F165" s="1320" t="s">
        <v>131</v>
      </c>
      <c r="G165" s="1308" t="s">
        <v>221</v>
      </c>
      <c r="H165" s="1327" t="s">
        <v>222</v>
      </c>
      <c r="I165" s="541" t="s">
        <v>72</v>
      </c>
      <c r="J165" s="542">
        <f t="shared" si="117"/>
        <v>996786</v>
      </c>
      <c r="K165" s="543">
        <f t="shared" si="117"/>
        <v>996786</v>
      </c>
      <c r="L165" s="544">
        <f t="shared" si="117"/>
        <v>0</v>
      </c>
      <c r="M165" s="544">
        <f t="shared" si="117"/>
        <v>0</v>
      </c>
      <c r="N165" s="545">
        <f t="shared" si="117"/>
        <v>0</v>
      </c>
      <c r="O165" s="546">
        <f t="shared" si="118"/>
        <v>996786</v>
      </c>
      <c r="P165" s="472">
        <v>996786</v>
      </c>
      <c r="Q165" s="473"/>
      <c r="R165" s="473"/>
      <c r="S165" s="476"/>
      <c r="T165" s="542">
        <f t="shared" si="119"/>
        <v>0</v>
      </c>
      <c r="U165" s="547"/>
      <c r="V165" s="544"/>
      <c r="W165" s="544"/>
      <c r="X165" s="545"/>
      <c r="Y165" s="546">
        <f t="shared" si="120"/>
        <v>0</v>
      </c>
      <c r="Z165" s="472"/>
      <c r="AA165" s="473"/>
      <c r="AB165" s="473"/>
      <c r="AC165" s="474"/>
    </row>
    <row r="166" spans="1:29" s="253" customFormat="1" hidden="1" x14ac:dyDescent="0.2">
      <c r="A166" s="1274"/>
      <c r="B166" s="1323"/>
      <c r="C166" s="1323"/>
      <c r="D166" s="1323"/>
      <c r="E166" s="1323"/>
      <c r="F166" s="1321"/>
      <c r="G166" s="1309"/>
      <c r="H166" s="1336"/>
      <c r="I166" s="548" t="s">
        <v>73</v>
      </c>
      <c r="J166" s="549">
        <f t="shared" si="117"/>
        <v>52530</v>
      </c>
      <c r="K166" s="550">
        <f t="shared" si="117"/>
        <v>15558</v>
      </c>
      <c r="L166" s="551">
        <f t="shared" si="117"/>
        <v>13250</v>
      </c>
      <c r="M166" s="551">
        <f t="shared" si="117"/>
        <v>16712</v>
      </c>
      <c r="N166" s="552">
        <f t="shared" si="117"/>
        <v>7010</v>
      </c>
      <c r="O166" s="295">
        <f t="shared" si="118"/>
        <v>52530</v>
      </c>
      <c r="P166" s="292">
        <f>16712-1154</f>
        <v>15558</v>
      </c>
      <c r="Q166" s="292">
        <f>16712-3462</f>
        <v>13250</v>
      </c>
      <c r="R166" s="292">
        <v>16712</v>
      </c>
      <c r="S166" s="296">
        <f>16711-9701</f>
        <v>7010</v>
      </c>
      <c r="T166" s="549">
        <f t="shared" si="119"/>
        <v>0</v>
      </c>
      <c r="U166" s="553"/>
      <c r="V166" s="551"/>
      <c r="W166" s="551"/>
      <c r="X166" s="552"/>
      <c r="Y166" s="295">
        <f t="shared" si="120"/>
        <v>0</v>
      </c>
      <c r="Z166" s="292"/>
      <c r="AA166" s="293"/>
      <c r="AB166" s="293"/>
      <c r="AC166" s="294"/>
    </row>
    <row r="167" spans="1:29" s="453" customFormat="1" ht="15" hidden="1" customHeight="1" x14ac:dyDescent="0.2">
      <c r="A167" s="1273"/>
      <c r="B167" s="1322"/>
      <c r="C167" s="1322"/>
      <c r="D167" s="1322"/>
      <c r="E167" s="1322"/>
      <c r="F167" s="1320" t="s">
        <v>66</v>
      </c>
      <c r="G167" s="1308" t="s">
        <v>223</v>
      </c>
      <c r="H167" s="1327" t="s">
        <v>224</v>
      </c>
      <c r="I167" s="554" t="s">
        <v>72</v>
      </c>
      <c r="J167" s="555">
        <f t="shared" si="117"/>
        <v>0</v>
      </c>
      <c r="K167" s="556">
        <f t="shared" si="117"/>
        <v>0</v>
      </c>
      <c r="L167" s="557">
        <f t="shared" si="117"/>
        <v>0</v>
      </c>
      <c r="M167" s="557">
        <f t="shared" si="117"/>
        <v>0</v>
      </c>
      <c r="N167" s="558">
        <f t="shared" si="117"/>
        <v>0</v>
      </c>
      <c r="O167" s="559">
        <f t="shared" si="118"/>
        <v>0</v>
      </c>
      <c r="P167" s="560"/>
      <c r="Q167" s="557"/>
      <c r="R167" s="557"/>
      <c r="S167" s="561"/>
      <c r="T167" s="555">
        <f t="shared" si="119"/>
        <v>0</v>
      </c>
      <c r="U167" s="560"/>
      <c r="V167" s="557"/>
      <c r="W167" s="557"/>
      <c r="X167" s="558"/>
      <c r="Y167" s="559">
        <f t="shared" si="120"/>
        <v>0</v>
      </c>
      <c r="Z167" s="560"/>
      <c r="AA167" s="557"/>
      <c r="AB167" s="557"/>
      <c r="AC167" s="558"/>
    </row>
    <row r="168" spans="1:29" s="253" customFormat="1" ht="15" hidden="1" customHeight="1" x14ac:dyDescent="0.2">
      <c r="A168" s="1274"/>
      <c r="B168" s="1323"/>
      <c r="C168" s="1323"/>
      <c r="D168" s="1323"/>
      <c r="E168" s="1323"/>
      <c r="F168" s="1321"/>
      <c r="G168" s="1309"/>
      <c r="H168" s="1336"/>
      <c r="I168" s="562" t="s">
        <v>73</v>
      </c>
      <c r="J168" s="373">
        <f t="shared" si="117"/>
        <v>0</v>
      </c>
      <c r="K168" s="383">
        <f t="shared" si="117"/>
        <v>0</v>
      </c>
      <c r="L168" s="375">
        <f t="shared" si="117"/>
        <v>0</v>
      </c>
      <c r="M168" s="375">
        <f t="shared" si="117"/>
        <v>0</v>
      </c>
      <c r="N168" s="376">
        <f t="shared" si="117"/>
        <v>0</v>
      </c>
      <c r="O168" s="377">
        <f t="shared" si="118"/>
        <v>0</v>
      </c>
      <c r="P168" s="374"/>
      <c r="Q168" s="375"/>
      <c r="R168" s="375"/>
      <c r="S168" s="378"/>
      <c r="T168" s="373">
        <f t="shared" si="119"/>
        <v>0</v>
      </c>
      <c r="U168" s="374"/>
      <c r="V168" s="375"/>
      <c r="W168" s="375"/>
      <c r="X168" s="376"/>
      <c r="Y168" s="377">
        <f t="shared" si="120"/>
        <v>0</v>
      </c>
      <c r="Z168" s="374"/>
      <c r="AA168" s="375"/>
      <c r="AB168" s="375"/>
      <c r="AC168" s="376"/>
    </row>
    <row r="169" spans="1:29" s="453" customFormat="1" ht="15" hidden="1" customHeight="1" x14ac:dyDescent="0.2">
      <c r="A169" s="1364"/>
      <c r="B169" s="1322"/>
      <c r="C169" s="1322"/>
      <c r="D169" s="1322"/>
      <c r="E169" s="1292" t="s">
        <v>63</v>
      </c>
      <c r="F169" s="1324"/>
      <c r="G169" s="1279" t="s">
        <v>225</v>
      </c>
      <c r="H169" s="1294" t="s">
        <v>226</v>
      </c>
      <c r="I169" s="493" t="s">
        <v>72</v>
      </c>
      <c r="J169" s="563">
        <f>K169+L169+M169+N169</f>
        <v>57</v>
      </c>
      <c r="K169" s="564">
        <f>K171+K173+K175</f>
        <v>57</v>
      </c>
      <c r="L169" s="565">
        <f t="shared" ref="L169:N170" si="121">L171+L173+L175</f>
        <v>0</v>
      </c>
      <c r="M169" s="565">
        <f t="shared" si="121"/>
        <v>0</v>
      </c>
      <c r="N169" s="566">
        <f t="shared" si="121"/>
        <v>0</v>
      </c>
      <c r="O169" s="567">
        <f>P169+Q169+R169+S169</f>
        <v>0</v>
      </c>
      <c r="P169" s="568">
        <f>P171+P173+P175</f>
        <v>0</v>
      </c>
      <c r="Q169" s="569">
        <f t="shared" ref="Q169:S170" si="122">Q171+Q173+Q175</f>
        <v>0</v>
      </c>
      <c r="R169" s="569">
        <f t="shared" si="122"/>
        <v>0</v>
      </c>
      <c r="S169" s="570">
        <f t="shared" si="122"/>
        <v>0</v>
      </c>
      <c r="T169" s="571">
        <f>U169+V169+W169+X169</f>
        <v>0</v>
      </c>
      <c r="U169" s="572">
        <f>U171+U173+U175</f>
        <v>0</v>
      </c>
      <c r="V169" s="573">
        <f t="shared" ref="V169:X170" si="123">V171+V173+V175</f>
        <v>0</v>
      </c>
      <c r="W169" s="573">
        <f t="shared" si="123"/>
        <v>0</v>
      </c>
      <c r="X169" s="574">
        <f t="shared" si="123"/>
        <v>0</v>
      </c>
      <c r="Y169" s="575">
        <f>Z169+AA169+AB169+AC169</f>
        <v>57</v>
      </c>
      <c r="Z169" s="576">
        <f>Z171+Z173+Z175</f>
        <v>57</v>
      </c>
      <c r="AA169" s="577">
        <f t="shared" ref="AA169:AC170" si="124">AA171+AA173+AA175</f>
        <v>0</v>
      </c>
      <c r="AB169" s="577">
        <f t="shared" si="124"/>
        <v>0</v>
      </c>
      <c r="AC169" s="578">
        <f t="shared" si="124"/>
        <v>0</v>
      </c>
    </row>
    <row r="170" spans="1:29" s="253" customFormat="1" hidden="1" x14ac:dyDescent="0.2">
      <c r="A170" s="1365"/>
      <c r="B170" s="1323"/>
      <c r="C170" s="1323"/>
      <c r="D170" s="1323"/>
      <c r="E170" s="1293"/>
      <c r="F170" s="1325"/>
      <c r="G170" s="1280"/>
      <c r="H170" s="1295"/>
      <c r="I170" s="331" t="s">
        <v>73</v>
      </c>
      <c r="J170" s="524">
        <f>K170+L170+M170+N170</f>
        <v>98</v>
      </c>
      <c r="K170" s="525">
        <f>K172+K174+K176</f>
        <v>98</v>
      </c>
      <c r="L170" s="526">
        <f t="shared" si="121"/>
        <v>0</v>
      </c>
      <c r="M170" s="526">
        <f t="shared" si="121"/>
        <v>0</v>
      </c>
      <c r="N170" s="527">
        <f t="shared" si="121"/>
        <v>0</v>
      </c>
      <c r="O170" s="528">
        <f>P170+Q170+R170+S170</f>
        <v>0</v>
      </c>
      <c r="P170" s="529">
        <f>P172+P174+P176</f>
        <v>0</v>
      </c>
      <c r="Q170" s="530">
        <f t="shared" si="122"/>
        <v>0</v>
      </c>
      <c r="R170" s="530">
        <f t="shared" si="122"/>
        <v>0</v>
      </c>
      <c r="S170" s="531">
        <f t="shared" si="122"/>
        <v>0</v>
      </c>
      <c r="T170" s="532">
        <f>U170+V170+W170+X170</f>
        <v>0</v>
      </c>
      <c r="U170" s="533">
        <f>U172+U174+U176</f>
        <v>0</v>
      </c>
      <c r="V170" s="534">
        <f t="shared" si="123"/>
        <v>0</v>
      </c>
      <c r="W170" s="534">
        <f t="shared" si="123"/>
        <v>0</v>
      </c>
      <c r="X170" s="535">
        <f t="shared" si="123"/>
        <v>0</v>
      </c>
      <c r="Y170" s="536">
        <f>Z170+AA170+AB170+AC170</f>
        <v>98</v>
      </c>
      <c r="Z170" s="537">
        <f>Z172+Z174+Z176</f>
        <v>98</v>
      </c>
      <c r="AA170" s="538">
        <f t="shared" si="124"/>
        <v>0</v>
      </c>
      <c r="AB170" s="538">
        <f t="shared" si="124"/>
        <v>0</v>
      </c>
      <c r="AC170" s="539">
        <f t="shared" si="124"/>
        <v>0</v>
      </c>
    </row>
    <row r="171" spans="1:29" s="453" customFormat="1" ht="15" hidden="1" customHeight="1" x14ac:dyDescent="0.2">
      <c r="A171" s="1364"/>
      <c r="B171" s="1322"/>
      <c r="C171" s="1322"/>
      <c r="D171" s="1322"/>
      <c r="E171" s="1366"/>
      <c r="F171" s="1320" t="s">
        <v>74</v>
      </c>
      <c r="G171" s="1308" t="s">
        <v>219</v>
      </c>
      <c r="H171" s="1327" t="s">
        <v>227</v>
      </c>
      <c r="I171" s="470" t="s">
        <v>72</v>
      </c>
      <c r="J171" s="471">
        <f t="shared" ref="J171:N176" si="125">O171+T171+Y171</f>
        <v>0</v>
      </c>
      <c r="K171" s="472">
        <f t="shared" si="125"/>
        <v>0</v>
      </c>
      <c r="L171" s="473">
        <f t="shared" si="125"/>
        <v>0</v>
      </c>
      <c r="M171" s="473">
        <f t="shared" si="125"/>
        <v>0</v>
      </c>
      <c r="N171" s="474">
        <f t="shared" si="125"/>
        <v>0</v>
      </c>
      <c r="O171" s="546"/>
      <c r="P171" s="472"/>
      <c r="Q171" s="473"/>
      <c r="R171" s="473"/>
      <c r="S171" s="476"/>
      <c r="T171" s="471">
        <f t="shared" ref="T171:T200" si="126">U171+V171+W171+X171</f>
        <v>0</v>
      </c>
      <c r="U171" s="478"/>
      <c r="V171" s="479"/>
      <c r="W171" s="479"/>
      <c r="X171" s="480"/>
      <c r="Y171" s="546"/>
      <c r="Z171" s="472"/>
      <c r="AA171" s="473"/>
      <c r="AB171" s="473"/>
      <c r="AC171" s="474"/>
    </row>
    <row r="172" spans="1:29" s="253" customFormat="1" ht="15" hidden="1" customHeight="1" x14ac:dyDescent="0.2">
      <c r="A172" s="1365"/>
      <c r="B172" s="1323"/>
      <c r="C172" s="1323"/>
      <c r="D172" s="1323"/>
      <c r="E172" s="1367"/>
      <c r="F172" s="1321"/>
      <c r="G172" s="1309"/>
      <c r="H172" s="1336"/>
      <c r="I172" s="290" t="s">
        <v>73</v>
      </c>
      <c r="J172" s="291">
        <f t="shared" si="125"/>
        <v>0</v>
      </c>
      <c r="K172" s="292">
        <f t="shared" si="125"/>
        <v>0</v>
      </c>
      <c r="L172" s="293">
        <f t="shared" si="125"/>
        <v>0</v>
      </c>
      <c r="M172" s="293">
        <f t="shared" si="125"/>
        <v>0</v>
      </c>
      <c r="N172" s="294">
        <f t="shared" si="125"/>
        <v>0</v>
      </c>
      <c r="O172" s="295"/>
      <c r="P172" s="292"/>
      <c r="Q172" s="293"/>
      <c r="R172" s="293"/>
      <c r="S172" s="296"/>
      <c r="T172" s="291">
        <f t="shared" si="126"/>
        <v>0</v>
      </c>
      <c r="U172" s="298"/>
      <c r="V172" s="299"/>
      <c r="W172" s="299"/>
      <c r="X172" s="431"/>
      <c r="Y172" s="295"/>
      <c r="Z172" s="292"/>
      <c r="AA172" s="293"/>
      <c r="AB172" s="293"/>
      <c r="AC172" s="294"/>
    </row>
    <row r="173" spans="1:29" s="453" customFormat="1" ht="15" hidden="1" customHeight="1" x14ac:dyDescent="0.2">
      <c r="A173" s="1364"/>
      <c r="B173" s="1322"/>
      <c r="C173" s="1322"/>
      <c r="D173" s="1322"/>
      <c r="E173" s="1366"/>
      <c r="F173" s="1320" t="s">
        <v>131</v>
      </c>
      <c r="G173" s="1308" t="s">
        <v>221</v>
      </c>
      <c r="H173" s="1327" t="s">
        <v>228</v>
      </c>
      <c r="I173" s="579" t="s">
        <v>72</v>
      </c>
      <c r="J173" s="471">
        <f t="shared" si="125"/>
        <v>57</v>
      </c>
      <c r="K173" s="481">
        <f t="shared" si="125"/>
        <v>57</v>
      </c>
      <c r="L173" s="473">
        <f t="shared" si="125"/>
        <v>0</v>
      </c>
      <c r="M173" s="473">
        <f t="shared" si="125"/>
        <v>0</v>
      </c>
      <c r="N173" s="474">
        <f t="shared" si="125"/>
        <v>0</v>
      </c>
      <c r="O173" s="546">
        <f>P173+Q173+R173+S173</f>
        <v>0</v>
      </c>
      <c r="P173" s="472"/>
      <c r="Q173" s="473"/>
      <c r="R173" s="473"/>
      <c r="S173" s="476"/>
      <c r="T173" s="471">
        <f t="shared" si="126"/>
        <v>0</v>
      </c>
      <c r="U173" s="478"/>
      <c r="V173" s="479"/>
      <c r="W173" s="479"/>
      <c r="X173" s="480"/>
      <c r="Y173" s="546">
        <f>Z173+AA173+AB173+AC173</f>
        <v>57</v>
      </c>
      <c r="Z173" s="472">
        <f>57</f>
        <v>57</v>
      </c>
      <c r="AA173" s="473"/>
      <c r="AB173" s="473"/>
      <c r="AC173" s="474"/>
    </row>
    <row r="174" spans="1:29" s="253" customFormat="1" ht="16" hidden="1" thickBot="1" x14ac:dyDescent="0.25">
      <c r="A174" s="1365"/>
      <c r="B174" s="1323"/>
      <c r="C174" s="1323"/>
      <c r="D174" s="1323"/>
      <c r="E174" s="1367"/>
      <c r="F174" s="1321"/>
      <c r="G174" s="1309"/>
      <c r="H174" s="1336"/>
      <c r="I174" s="290" t="s">
        <v>73</v>
      </c>
      <c r="J174" s="291">
        <f t="shared" si="125"/>
        <v>98</v>
      </c>
      <c r="K174" s="301">
        <f t="shared" si="125"/>
        <v>98</v>
      </c>
      <c r="L174" s="293">
        <f t="shared" si="125"/>
        <v>0</v>
      </c>
      <c r="M174" s="293">
        <f t="shared" si="125"/>
        <v>0</v>
      </c>
      <c r="N174" s="294">
        <f t="shared" si="125"/>
        <v>0</v>
      </c>
      <c r="O174" s="295">
        <f>P174+Q174+R174+S174</f>
        <v>0</v>
      </c>
      <c r="P174" s="292"/>
      <c r="Q174" s="293"/>
      <c r="R174" s="293"/>
      <c r="S174" s="296"/>
      <c r="T174" s="291">
        <f t="shared" si="126"/>
        <v>0</v>
      </c>
      <c r="U174" s="298"/>
      <c r="V174" s="299"/>
      <c r="W174" s="299"/>
      <c r="X174" s="431"/>
      <c r="Y174" s="295">
        <f>Z174+AA174+AB174+AC174</f>
        <v>98</v>
      </c>
      <c r="Z174" s="292">
        <f>98</f>
        <v>98</v>
      </c>
      <c r="AA174" s="293"/>
      <c r="AB174" s="293"/>
      <c r="AC174" s="294"/>
    </row>
    <row r="175" spans="1:29" s="453" customFormat="1" ht="15.75" hidden="1" customHeight="1" x14ac:dyDescent="0.2">
      <c r="A175" s="1363"/>
      <c r="B175" s="1322"/>
      <c r="C175" s="1322"/>
      <c r="D175" s="1322"/>
      <c r="E175" s="1322"/>
      <c r="F175" s="1320" t="s">
        <v>66</v>
      </c>
      <c r="G175" s="1308" t="s">
        <v>223</v>
      </c>
      <c r="H175" s="1327" t="s">
        <v>229</v>
      </c>
      <c r="I175" s="470" t="s">
        <v>72</v>
      </c>
      <c r="J175" s="555">
        <f t="shared" si="125"/>
        <v>0</v>
      </c>
      <c r="K175" s="560">
        <f t="shared" si="125"/>
        <v>0</v>
      </c>
      <c r="L175" s="557">
        <f t="shared" si="125"/>
        <v>0</v>
      </c>
      <c r="M175" s="557">
        <f t="shared" si="125"/>
        <v>0</v>
      </c>
      <c r="N175" s="558">
        <f t="shared" si="125"/>
        <v>0</v>
      </c>
      <c r="O175" s="559"/>
      <c r="P175" s="560"/>
      <c r="Q175" s="557"/>
      <c r="R175" s="557"/>
      <c r="S175" s="561"/>
      <c r="T175" s="555">
        <f t="shared" si="126"/>
        <v>0</v>
      </c>
      <c r="U175" s="580"/>
      <c r="V175" s="581"/>
      <c r="W175" s="581"/>
      <c r="X175" s="582"/>
      <c r="Y175" s="559"/>
      <c r="Z175" s="560"/>
      <c r="AA175" s="557"/>
      <c r="AB175" s="557"/>
      <c r="AC175" s="558"/>
    </row>
    <row r="176" spans="1:29" s="253" customFormat="1" ht="15.75" hidden="1" customHeight="1" x14ac:dyDescent="0.2">
      <c r="A176" s="1266"/>
      <c r="B176" s="1268"/>
      <c r="C176" s="1268"/>
      <c r="D176" s="1268"/>
      <c r="E176" s="1268"/>
      <c r="F176" s="1333"/>
      <c r="G176" s="1326"/>
      <c r="H176" s="1328"/>
      <c r="I176" s="372" t="s">
        <v>73</v>
      </c>
      <c r="J176" s="373">
        <f t="shared" si="125"/>
        <v>0</v>
      </c>
      <c r="K176" s="374">
        <f t="shared" si="125"/>
        <v>0</v>
      </c>
      <c r="L176" s="375">
        <f t="shared" si="125"/>
        <v>0</v>
      </c>
      <c r="M176" s="375">
        <f t="shared" si="125"/>
        <v>0</v>
      </c>
      <c r="N176" s="376">
        <f t="shared" si="125"/>
        <v>0</v>
      </c>
      <c r="O176" s="377"/>
      <c r="P176" s="374"/>
      <c r="Q176" s="375"/>
      <c r="R176" s="375"/>
      <c r="S176" s="378"/>
      <c r="T176" s="373">
        <f t="shared" si="126"/>
        <v>0</v>
      </c>
      <c r="U176" s="380"/>
      <c r="V176" s="381"/>
      <c r="W176" s="381"/>
      <c r="X176" s="382"/>
      <c r="Y176" s="377"/>
      <c r="Z176" s="374"/>
      <c r="AA176" s="375"/>
      <c r="AB176" s="375"/>
      <c r="AC176" s="376"/>
    </row>
    <row r="177" spans="1:29" s="453" customFormat="1" ht="15.75" hidden="1" customHeight="1" x14ac:dyDescent="0.2">
      <c r="A177" s="1265"/>
      <c r="B177" s="1267"/>
      <c r="C177" s="1267"/>
      <c r="D177" s="1347" t="s">
        <v>88</v>
      </c>
      <c r="E177" s="1267"/>
      <c r="F177" s="1267"/>
      <c r="G177" s="1289" t="s">
        <v>89</v>
      </c>
      <c r="H177" s="1348" t="s">
        <v>88</v>
      </c>
      <c r="I177" s="436" t="s">
        <v>72</v>
      </c>
      <c r="J177" s="437">
        <f>K177+L177+M177+N177</f>
        <v>4300</v>
      </c>
      <c r="K177" s="438">
        <f>K179+K181+K183</f>
        <v>3800</v>
      </c>
      <c r="L177" s="439">
        <f t="shared" ref="L177:N178" si="127">L179+L181+L183</f>
        <v>0</v>
      </c>
      <c r="M177" s="439">
        <f t="shared" si="127"/>
        <v>500</v>
      </c>
      <c r="N177" s="440">
        <f t="shared" si="127"/>
        <v>0</v>
      </c>
      <c r="O177" s="441">
        <f t="shared" ref="O177:O200" si="128">P177+Q177+R177+S177</f>
        <v>0</v>
      </c>
      <c r="P177" s="442">
        <f>P179+P181+P183</f>
        <v>0</v>
      </c>
      <c r="Q177" s="443">
        <f t="shared" ref="Q177:S178" si="129">Q179+Q181+Q183</f>
        <v>0</v>
      </c>
      <c r="R177" s="443">
        <f t="shared" si="129"/>
        <v>0</v>
      </c>
      <c r="S177" s="444">
        <f t="shared" si="129"/>
        <v>0</v>
      </c>
      <c r="T177" s="445">
        <f t="shared" si="126"/>
        <v>700</v>
      </c>
      <c r="U177" s="446">
        <f>U179+U181+U183</f>
        <v>700</v>
      </c>
      <c r="V177" s="447">
        <f t="shared" ref="V177:X178" si="130">V179+V181+V183</f>
        <v>0</v>
      </c>
      <c r="W177" s="447">
        <f t="shared" si="130"/>
        <v>0</v>
      </c>
      <c r="X177" s="448">
        <f t="shared" si="130"/>
        <v>0</v>
      </c>
      <c r="Y177" s="449">
        <f t="shared" ref="Y177:Y204" si="131">Z177+AA177+AB177+AC177</f>
        <v>3600</v>
      </c>
      <c r="Z177" s="450">
        <f>Z179+Z181+Z183</f>
        <v>3100</v>
      </c>
      <c r="AA177" s="451">
        <f t="shared" ref="AA177:AC178" si="132">AA179+AA181+AA183</f>
        <v>0</v>
      </c>
      <c r="AB177" s="451">
        <f t="shared" si="132"/>
        <v>500</v>
      </c>
      <c r="AC177" s="452">
        <f t="shared" si="132"/>
        <v>0</v>
      </c>
    </row>
    <row r="178" spans="1:29" s="253" customFormat="1" hidden="1" x14ac:dyDescent="0.2">
      <c r="A178" s="1329"/>
      <c r="B178" s="1323"/>
      <c r="C178" s="1323"/>
      <c r="D178" s="1293"/>
      <c r="E178" s="1323"/>
      <c r="F178" s="1323"/>
      <c r="G178" s="1280"/>
      <c r="H178" s="1295"/>
      <c r="I178" s="331" t="s">
        <v>73</v>
      </c>
      <c r="J178" s="494">
        <f>K178+L178+M178+N178</f>
        <v>4300</v>
      </c>
      <c r="K178" s="507">
        <f>K180+K182+K184</f>
        <v>1920</v>
      </c>
      <c r="L178" s="349">
        <f t="shared" si="127"/>
        <v>640</v>
      </c>
      <c r="M178" s="349">
        <f t="shared" si="127"/>
        <v>1130</v>
      </c>
      <c r="N178" s="350">
        <f t="shared" si="127"/>
        <v>610</v>
      </c>
      <c r="O178" s="495">
        <f t="shared" si="128"/>
        <v>0</v>
      </c>
      <c r="P178" s="496">
        <f>P180+P182+P184</f>
        <v>0</v>
      </c>
      <c r="Q178" s="497">
        <f t="shared" si="129"/>
        <v>0</v>
      </c>
      <c r="R178" s="497">
        <f t="shared" si="129"/>
        <v>0</v>
      </c>
      <c r="S178" s="498">
        <f t="shared" si="129"/>
        <v>0</v>
      </c>
      <c r="T178" s="499">
        <f t="shared" si="126"/>
        <v>700</v>
      </c>
      <c r="U178" s="583">
        <f>U180+U182+U184</f>
        <v>700</v>
      </c>
      <c r="V178" s="584">
        <f t="shared" si="130"/>
        <v>0</v>
      </c>
      <c r="W178" s="584">
        <f t="shared" si="130"/>
        <v>0</v>
      </c>
      <c r="X178" s="585">
        <f t="shared" si="130"/>
        <v>0</v>
      </c>
      <c r="Y178" s="503">
        <f t="shared" si="131"/>
        <v>3600</v>
      </c>
      <c r="Z178" s="504">
        <f>Z180+Z182+Z184</f>
        <v>1220</v>
      </c>
      <c r="AA178" s="505">
        <f t="shared" si="132"/>
        <v>640</v>
      </c>
      <c r="AB178" s="505">
        <f t="shared" si="132"/>
        <v>1130</v>
      </c>
      <c r="AC178" s="506">
        <f t="shared" si="132"/>
        <v>610</v>
      </c>
    </row>
    <row r="179" spans="1:29" s="453" customFormat="1" hidden="1" x14ac:dyDescent="0.2">
      <c r="A179" s="1363"/>
      <c r="B179" s="1366"/>
      <c r="C179" s="1366"/>
      <c r="D179" s="1366"/>
      <c r="E179" s="1292" t="s">
        <v>230</v>
      </c>
      <c r="F179" s="1324"/>
      <c r="G179" s="1308" t="s">
        <v>231</v>
      </c>
      <c r="H179" s="1327" t="s">
        <v>232</v>
      </c>
      <c r="I179" s="586" t="s">
        <v>72</v>
      </c>
      <c r="J179" s="587">
        <f t="shared" ref="J179:N184" si="133">O179+T179+Y179</f>
        <v>1100</v>
      </c>
      <c r="K179" s="588">
        <f t="shared" si="133"/>
        <v>600</v>
      </c>
      <c r="L179" s="589">
        <f t="shared" si="133"/>
        <v>0</v>
      </c>
      <c r="M179" s="589">
        <f t="shared" si="133"/>
        <v>500</v>
      </c>
      <c r="N179" s="590">
        <f t="shared" si="133"/>
        <v>0</v>
      </c>
      <c r="O179" s="591">
        <f t="shared" si="128"/>
        <v>0</v>
      </c>
      <c r="P179" s="588"/>
      <c r="Q179" s="589"/>
      <c r="R179" s="589"/>
      <c r="S179" s="592"/>
      <c r="T179" s="555">
        <f t="shared" si="126"/>
        <v>100</v>
      </c>
      <c r="U179" s="593">
        <v>100</v>
      </c>
      <c r="V179" s="594"/>
      <c r="W179" s="594"/>
      <c r="X179" s="595"/>
      <c r="Y179" s="591">
        <f t="shared" si="131"/>
        <v>1000</v>
      </c>
      <c r="Z179" s="588">
        <v>500</v>
      </c>
      <c r="AA179" s="589"/>
      <c r="AB179" s="589">
        <f>500</f>
        <v>500</v>
      </c>
      <c r="AC179" s="590"/>
    </row>
    <row r="180" spans="1:29" s="253" customFormat="1" hidden="1" x14ac:dyDescent="0.2">
      <c r="A180" s="1329"/>
      <c r="B180" s="1367"/>
      <c r="C180" s="1367"/>
      <c r="D180" s="1367"/>
      <c r="E180" s="1293"/>
      <c r="F180" s="1325"/>
      <c r="G180" s="1309"/>
      <c r="H180" s="1336"/>
      <c r="I180" s="562" t="s">
        <v>73</v>
      </c>
      <c r="J180" s="373">
        <f t="shared" si="133"/>
        <v>1100</v>
      </c>
      <c r="K180" s="374">
        <f t="shared" si="133"/>
        <v>600</v>
      </c>
      <c r="L180" s="375">
        <f t="shared" si="133"/>
        <v>0</v>
      </c>
      <c r="M180" s="375">
        <f t="shared" si="133"/>
        <v>500</v>
      </c>
      <c r="N180" s="376">
        <f t="shared" si="133"/>
        <v>0</v>
      </c>
      <c r="O180" s="291">
        <f t="shared" si="128"/>
        <v>0</v>
      </c>
      <c r="P180" s="374"/>
      <c r="Q180" s="375"/>
      <c r="R180" s="375"/>
      <c r="S180" s="378"/>
      <c r="T180" s="291">
        <f t="shared" si="126"/>
        <v>100</v>
      </c>
      <c r="U180" s="380">
        <v>100</v>
      </c>
      <c r="V180" s="381"/>
      <c r="W180" s="381"/>
      <c r="X180" s="382"/>
      <c r="Y180" s="295">
        <f t="shared" si="131"/>
        <v>1000</v>
      </c>
      <c r="Z180" s="374">
        <v>500</v>
      </c>
      <c r="AA180" s="375"/>
      <c r="AB180" s="375">
        <f>500</f>
        <v>500</v>
      </c>
      <c r="AC180" s="376"/>
    </row>
    <row r="181" spans="1:29" s="253" customFormat="1" hidden="1" x14ac:dyDescent="0.2">
      <c r="A181" s="1363"/>
      <c r="B181" s="1366"/>
      <c r="C181" s="1366"/>
      <c r="D181" s="1366"/>
      <c r="E181" s="1292" t="s">
        <v>233</v>
      </c>
      <c r="F181" s="1366"/>
      <c r="G181" s="1308" t="s">
        <v>234</v>
      </c>
      <c r="H181" s="1327" t="s">
        <v>235</v>
      </c>
      <c r="I181" s="596" t="s">
        <v>72</v>
      </c>
      <c r="J181" s="280">
        <f t="shared" si="133"/>
        <v>3200</v>
      </c>
      <c r="K181" s="281">
        <f t="shared" si="133"/>
        <v>3200</v>
      </c>
      <c r="L181" s="282">
        <f t="shared" si="133"/>
        <v>0</v>
      </c>
      <c r="M181" s="282">
        <f t="shared" si="133"/>
        <v>0</v>
      </c>
      <c r="N181" s="283">
        <f t="shared" si="133"/>
        <v>0</v>
      </c>
      <c r="O181" s="471">
        <f t="shared" si="128"/>
        <v>0</v>
      </c>
      <c r="P181" s="292"/>
      <c r="Q181" s="293"/>
      <c r="R181" s="293"/>
      <c r="S181" s="296"/>
      <c r="T181" s="471">
        <f t="shared" si="126"/>
        <v>600</v>
      </c>
      <c r="U181" s="298">
        <v>600</v>
      </c>
      <c r="V181" s="299"/>
      <c r="W181" s="299"/>
      <c r="X181" s="431"/>
      <c r="Y181" s="546">
        <f t="shared" si="131"/>
        <v>2600</v>
      </c>
      <c r="Z181" s="292">
        <f>3600-1000</f>
        <v>2600</v>
      </c>
      <c r="AA181" s="293"/>
      <c r="AB181" s="293"/>
      <c r="AC181" s="294"/>
    </row>
    <row r="182" spans="1:29" s="253" customFormat="1" ht="16" hidden="1" thickBot="1" x14ac:dyDescent="0.25">
      <c r="A182" s="1371"/>
      <c r="B182" s="1372"/>
      <c r="C182" s="1372"/>
      <c r="D182" s="1372"/>
      <c r="E182" s="1373"/>
      <c r="F182" s="1372"/>
      <c r="G182" s="1368"/>
      <c r="H182" s="1369"/>
      <c r="I182" s="384" t="s">
        <v>73</v>
      </c>
      <c r="J182" s="385">
        <f t="shared" si="133"/>
        <v>3200</v>
      </c>
      <c r="K182" s="386">
        <f t="shared" si="133"/>
        <v>1320</v>
      </c>
      <c r="L182" s="387">
        <f t="shared" si="133"/>
        <v>640</v>
      </c>
      <c r="M182" s="387">
        <f t="shared" si="133"/>
        <v>630</v>
      </c>
      <c r="N182" s="388">
        <f t="shared" si="133"/>
        <v>610</v>
      </c>
      <c r="O182" s="385">
        <f t="shared" si="128"/>
        <v>0</v>
      </c>
      <c r="P182" s="386"/>
      <c r="Q182" s="387"/>
      <c r="R182" s="387"/>
      <c r="S182" s="390"/>
      <c r="T182" s="385">
        <f t="shared" si="126"/>
        <v>600</v>
      </c>
      <c r="U182" s="392">
        <v>600</v>
      </c>
      <c r="V182" s="393"/>
      <c r="W182" s="393"/>
      <c r="X182" s="394"/>
      <c r="Y182" s="389">
        <f t="shared" si="131"/>
        <v>2600</v>
      </c>
      <c r="Z182" s="386">
        <f>900-180</f>
        <v>720</v>
      </c>
      <c r="AA182" s="387">
        <f>900-260</f>
        <v>640</v>
      </c>
      <c r="AB182" s="387">
        <f>900-270</f>
        <v>630</v>
      </c>
      <c r="AC182" s="388">
        <f>900-290</f>
        <v>610</v>
      </c>
    </row>
    <row r="183" spans="1:29" s="453" customFormat="1" ht="19.5" hidden="1" customHeight="1" x14ac:dyDescent="0.2">
      <c r="A183" s="1363"/>
      <c r="B183" s="1366"/>
      <c r="C183" s="1366"/>
      <c r="D183" s="1366"/>
      <c r="E183" s="1292" t="s">
        <v>236</v>
      </c>
      <c r="F183" s="1366"/>
      <c r="G183" s="1308" t="s">
        <v>237</v>
      </c>
      <c r="H183" s="1327" t="s">
        <v>238</v>
      </c>
      <c r="I183" s="597" t="s">
        <v>72</v>
      </c>
      <c r="J183" s="598">
        <f t="shared" si="133"/>
        <v>0</v>
      </c>
      <c r="K183" s="599">
        <f t="shared" si="133"/>
        <v>0</v>
      </c>
      <c r="L183" s="600">
        <f t="shared" si="133"/>
        <v>0</v>
      </c>
      <c r="M183" s="600">
        <f t="shared" si="133"/>
        <v>0</v>
      </c>
      <c r="N183" s="601">
        <f t="shared" si="133"/>
        <v>0</v>
      </c>
      <c r="O183" s="602">
        <f t="shared" si="128"/>
        <v>0</v>
      </c>
      <c r="P183" s="603"/>
      <c r="Q183" s="604"/>
      <c r="R183" s="604"/>
      <c r="S183" s="605"/>
      <c r="T183" s="602">
        <f t="shared" si="126"/>
        <v>0</v>
      </c>
      <c r="U183" s="606">
        <f>200-200</f>
        <v>0</v>
      </c>
      <c r="V183" s="607"/>
      <c r="W183" s="607"/>
      <c r="X183" s="608"/>
      <c r="Y183" s="602">
        <f t="shared" si="131"/>
        <v>0</v>
      </c>
      <c r="Z183" s="603">
        <f>800-800</f>
        <v>0</v>
      </c>
      <c r="AA183" s="604"/>
      <c r="AB183" s="604"/>
      <c r="AC183" s="609"/>
    </row>
    <row r="184" spans="1:29" s="253" customFormat="1" ht="19.5" hidden="1" customHeight="1" x14ac:dyDescent="0.2">
      <c r="A184" s="1266"/>
      <c r="B184" s="1288"/>
      <c r="C184" s="1288"/>
      <c r="D184" s="1288"/>
      <c r="E184" s="1370"/>
      <c r="F184" s="1288"/>
      <c r="G184" s="1326"/>
      <c r="H184" s="1328"/>
      <c r="I184" s="610" t="s">
        <v>73</v>
      </c>
      <c r="J184" s="611">
        <f t="shared" si="133"/>
        <v>0</v>
      </c>
      <c r="K184" s="612">
        <f t="shared" si="133"/>
        <v>0</v>
      </c>
      <c r="L184" s="613">
        <f t="shared" si="133"/>
        <v>0</v>
      </c>
      <c r="M184" s="613">
        <f t="shared" si="133"/>
        <v>0</v>
      </c>
      <c r="N184" s="614">
        <f t="shared" si="133"/>
        <v>0</v>
      </c>
      <c r="O184" s="611">
        <f t="shared" si="128"/>
        <v>0</v>
      </c>
      <c r="P184" s="612"/>
      <c r="Q184" s="613"/>
      <c r="R184" s="613"/>
      <c r="S184" s="615"/>
      <c r="T184" s="611">
        <f t="shared" si="126"/>
        <v>0</v>
      </c>
      <c r="U184" s="616">
        <f>100-100</f>
        <v>0</v>
      </c>
      <c r="V184" s="617">
        <f>100-100</f>
        <v>0</v>
      </c>
      <c r="W184" s="617"/>
      <c r="X184" s="618"/>
      <c r="Y184" s="611">
        <f t="shared" si="131"/>
        <v>0</v>
      </c>
      <c r="Z184" s="612">
        <f>400-400</f>
        <v>0</v>
      </c>
      <c r="AA184" s="613">
        <f>400-400</f>
        <v>0</v>
      </c>
      <c r="AB184" s="613"/>
      <c r="AC184" s="614"/>
    </row>
    <row r="185" spans="1:29" s="453" customFormat="1" hidden="1" x14ac:dyDescent="0.2">
      <c r="A185" s="1265"/>
      <c r="B185" s="1267"/>
      <c r="C185" s="1267"/>
      <c r="D185" s="1284" t="s">
        <v>91</v>
      </c>
      <c r="E185" s="1287"/>
      <c r="F185" s="1287"/>
      <c r="G185" s="1374" t="s">
        <v>92</v>
      </c>
      <c r="H185" s="1331" t="s">
        <v>91</v>
      </c>
      <c r="I185" s="436" t="s">
        <v>72</v>
      </c>
      <c r="J185" s="437">
        <f t="shared" ref="J185:J190" si="134">K185+L185+M185+N185</f>
        <v>14959</v>
      </c>
      <c r="K185" s="438">
        <f t="shared" ref="K185:N186" si="135">K187</f>
        <v>8380</v>
      </c>
      <c r="L185" s="439">
        <f t="shared" si="135"/>
        <v>0</v>
      </c>
      <c r="M185" s="439">
        <f t="shared" si="135"/>
        <v>4969</v>
      </c>
      <c r="N185" s="440">
        <f t="shared" si="135"/>
        <v>1610</v>
      </c>
      <c r="O185" s="441">
        <f t="shared" si="128"/>
        <v>0</v>
      </c>
      <c r="P185" s="442">
        <f t="shared" ref="P185:S186" si="136">P187</f>
        <v>0</v>
      </c>
      <c r="Q185" s="443">
        <f t="shared" si="136"/>
        <v>0</v>
      </c>
      <c r="R185" s="443">
        <f t="shared" si="136"/>
        <v>0</v>
      </c>
      <c r="S185" s="444">
        <f t="shared" si="136"/>
        <v>0</v>
      </c>
      <c r="T185" s="445">
        <f t="shared" si="126"/>
        <v>1416</v>
      </c>
      <c r="U185" s="446">
        <f t="shared" ref="U185:X186" si="137">U187</f>
        <v>1416</v>
      </c>
      <c r="V185" s="447">
        <f t="shared" si="137"/>
        <v>0</v>
      </c>
      <c r="W185" s="447">
        <f t="shared" si="137"/>
        <v>0</v>
      </c>
      <c r="X185" s="448">
        <f t="shared" si="137"/>
        <v>0</v>
      </c>
      <c r="Y185" s="449">
        <f t="shared" si="131"/>
        <v>13543</v>
      </c>
      <c r="Z185" s="450">
        <f t="shared" ref="Z185:AC186" si="138">Z187</f>
        <v>6964</v>
      </c>
      <c r="AA185" s="451">
        <f t="shared" si="138"/>
        <v>0</v>
      </c>
      <c r="AB185" s="451">
        <f t="shared" si="138"/>
        <v>4969</v>
      </c>
      <c r="AC185" s="452">
        <f t="shared" si="138"/>
        <v>1610</v>
      </c>
    </row>
    <row r="186" spans="1:29" s="253" customFormat="1" hidden="1" x14ac:dyDescent="0.2">
      <c r="A186" s="1329"/>
      <c r="B186" s="1323"/>
      <c r="C186" s="1323"/>
      <c r="D186" s="1278"/>
      <c r="E186" s="1367"/>
      <c r="F186" s="1367"/>
      <c r="G186" s="1319"/>
      <c r="H186" s="1317"/>
      <c r="I186" s="331" t="s">
        <v>73</v>
      </c>
      <c r="J186" s="332">
        <f t="shared" si="134"/>
        <v>19972</v>
      </c>
      <c r="K186" s="333">
        <f t="shared" si="135"/>
        <v>6682</v>
      </c>
      <c r="L186" s="334">
        <f t="shared" si="135"/>
        <v>4494</v>
      </c>
      <c r="M186" s="334">
        <f t="shared" si="135"/>
        <v>7420</v>
      </c>
      <c r="N186" s="335">
        <f t="shared" si="135"/>
        <v>1376</v>
      </c>
      <c r="O186" s="336">
        <f t="shared" si="128"/>
        <v>0</v>
      </c>
      <c r="P186" s="337">
        <f t="shared" si="136"/>
        <v>0</v>
      </c>
      <c r="Q186" s="338">
        <f t="shared" si="136"/>
        <v>0</v>
      </c>
      <c r="R186" s="338">
        <f t="shared" si="136"/>
        <v>0</v>
      </c>
      <c r="S186" s="339">
        <f t="shared" si="136"/>
        <v>0</v>
      </c>
      <c r="T186" s="340">
        <f t="shared" si="126"/>
        <v>1416</v>
      </c>
      <c r="U186" s="341">
        <f t="shared" si="137"/>
        <v>152</v>
      </c>
      <c r="V186" s="342">
        <f t="shared" si="137"/>
        <v>1264</v>
      </c>
      <c r="W186" s="342">
        <f t="shared" si="137"/>
        <v>0</v>
      </c>
      <c r="X186" s="432">
        <f t="shared" si="137"/>
        <v>0</v>
      </c>
      <c r="Y186" s="433">
        <f t="shared" si="131"/>
        <v>18556</v>
      </c>
      <c r="Z186" s="345">
        <f t="shared" si="138"/>
        <v>6530</v>
      </c>
      <c r="AA186" s="346">
        <f t="shared" si="138"/>
        <v>3230</v>
      </c>
      <c r="AB186" s="346">
        <f t="shared" si="138"/>
        <v>7420</v>
      </c>
      <c r="AC186" s="347">
        <f t="shared" si="138"/>
        <v>1376</v>
      </c>
    </row>
    <row r="187" spans="1:29" s="453" customFormat="1" hidden="1" x14ac:dyDescent="0.2">
      <c r="A187" s="1363"/>
      <c r="B187" s="1322"/>
      <c r="C187" s="1322"/>
      <c r="D187" s="1277" t="s">
        <v>94</v>
      </c>
      <c r="E187" s="1322"/>
      <c r="F187" s="1322"/>
      <c r="G187" s="1279" t="s">
        <v>95</v>
      </c>
      <c r="H187" s="1316" t="s">
        <v>94</v>
      </c>
      <c r="I187" s="493" t="s">
        <v>72</v>
      </c>
      <c r="J187" s="621">
        <f t="shared" si="134"/>
        <v>14959</v>
      </c>
      <c r="K187" s="622">
        <f t="shared" ref="K187:N188" si="139">K189+K199</f>
        <v>8380</v>
      </c>
      <c r="L187" s="623">
        <f t="shared" si="139"/>
        <v>0</v>
      </c>
      <c r="M187" s="623">
        <f t="shared" si="139"/>
        <v>4969</v>
      </c>
      <c r="N187" s="624">
        <f t="shared" si="139"/>
        <v>1610</v>
      </c>
      <c r="O187" s="625">
        <f t="shared" si="128"/>
        <v>0</v>
      </c>
      <c r="P187" s="626">
        <f t="shared" ref="P187:S188" si="140">P189+P199</f>
        <v>0</v>
      </c>
      <c r="Q187" s="627">
        <f t="shared" si="140"/>
        <v>0</v>
      </c>
      <c r="R187" s="627">
        <f t="shared" si="140"/>
        <v>0</v>
      </c>
      <c r="S187" s="628">
        <f t="shared" si="140"/>
        <v>0</v>
      </c>
      <c r="T187" s="629">
        <f t="shared" si="126"/>
        <v>1416</v>
      </c>
      <c r="U187" s="630">
        <f t="shared" ref="U187:X188" si="141">U189+U199</f>
        <v>1416</v>
      </c>
      <c r="V187" s="631">
        <f t="shared" si="141"/>
        <v>0</v>
      </c>
      <c r="W187" s="631">
        <f t="shared" si="141"/>
        <v>0</v>
      </c>
      <c r="X187" s="632">
        <f t="shared" si="141"/>
        <v>0</v>
      </c>
      <c r="Y187" s="633">
        <f t="shared" si="131"/>
        <v>13543</v>
      </c>
      <c r="Z187" s="634">
        <f t="shared" ref="Z187:AC188" si="142">Z189+Z199</f>
        <v>6964</v>
      </c>
      <c r="AA187" s="635">
        <f t="shared" si="142"/>
        <v>0</v>
      </c>
      <c r="AB187" s="635">
        <f t="shared" si="142"/>
        <v>4969</v>
      </c>
      <c r="AC187" s="636">
        <f t="shared" si="142"/>
        <v>1610</v>
      </c>
    </row>
    <row r="188" spans="1:29" s="253" customFormat="1" hidden="1" x14ac:dyDescent="0.2">
      <c r="A188" s="1329"/>
      <c r="B188" s="1323"/>
      <c r="C188" s="1323"/>
      <c r="D188" s="1278"/>
      <c r="E188" s="1323"/>
      <c r="F188" s="1323"/>
      <c r="G188" s="1280"/>
      <c r="H188" s="1317"/>
      <c r="I188" s="331" t="s">
        <v>73</v>
      </c>
      <c r="J188" s="332">
        <f t="shared" si="134"/>
        <v>19972</v>
      </c>
      <c r="K188" s="333">
        <f t="shared" si="139"/>
        <v>6682</v>
      </c>
      <c r="L188" s="334">
        <f t="shared" si="139"/>
        <v>4494</v>
      </c>
      <c r="M188" s="334">
        <f t="shared" si="139"/>
        <v>7420</v>
      </c>
      <c r="N188" s="335">
        <f t="shared" si="139"/>
        <v>1376</v>
      </c>
      <c r="O188" s="336">
        <f t="shared" si="128"/>
        <v>0</v>
      </c>
      <c r="P188" s="337">
        <f t="shared" si="140"/>
        <v>0</v>
      </c>
      <c r="Q188" s="338">
        <f t="shared" si="140"/>
        <v>0</v>
      </c>
      <c r="R188" s="338">
        <f t="shared" si="140"/>
        <v>0</v>
      </c>
      <c r="S188" s="339">
        <f t="shared" si="140"/>
        <v>0</v>
      </c>
      <c r="T188" s="340">
        <f t="shared" si="126"/>
        <v>1416</v>
      </c>
      <c r="U188" s="341">
        <f t="shared" si="141"/>
        <v>152</v>
      </c>
      <c r="V188" s="342">
        <f t="shared" si="141"/>
        <v>1264</v>
      </c>
      <c r="W188" s="342">
        <f t="shared" si="141"/>
        <v>0</v>
      </c>
      <c r="X188" s="432">
        <f t="shared" si="141"/>
        <v>0</v>
      </c>
      <c r="Y188" s="433">
        <f t="shared" si="131"/>
        <v>18556</v>
      </c>
      <c r="Z188" s="345">
        <f t="shared" si="142"/>
        <v>6530</v>
      </c>
      <c r="AA188" s="346">
        <f t="shared" si="142"/>
        <v>3230</v>
      </c>
      <c r="AB188" s="346">
        <f t="shared" si="142"/>
        <v>7420</v>
      </c>
      <c r="AC188" s="347">
        <f t="shared" si="142"/>
        <v>1376</v>
      </c>
    </row>
    <row r="189" spans="1:29" s="453" customFormat="1" hidden="1" x14ac:dyDescent="0.2">
      <c r="A189" s="1363"/>
      <c r="B189" s="1322"/>
      <c r="C189" s="1322"/>
      <c r="D189" s="1322"/>
      <c r="E189" s="1277" t="s">
        <v>74</v>
      </c>
      <c r="F189" s="1322"/>
      <c r="G189" s="1318" t="s">
        <v>239</v>
      </c>
      <c r="H189" s="1316" t="s">
        <v>240</v>
      </c>
      <c r="I189" s="493" t="s">
        <v>72</v>
      </c>
      <c r="J189" s="621">
        <f t="shared" si="134"/>
        <v>12296</v>
      </c>
      <c r="K189" s="622">
        <f t="shared" ref="K189:N190" si="143">K191+K193+K195+K197</f>
        <v>7112</v>
      </c>
      <c r="L189" s="623">
        <f t="shared" si="143"/>
        <v>0</v>
      </c>
      <c r="M189" s="623">
        <f t="shared" si="143"/>
        <v>4934</v>
      </c>
      <c r="N189" s="624">
        <f t="shared" si="143"/>
        <v>250</v>
      </c>
      <c r="O189" s="625">
        <f t="shared" si="128"/>
        <v>0</v>
      </c>
      <c r="P189" s="626">
        <f t="shared" ref="P189:S190" si="144">P191+P193+P195+P197</f>
        <v>0</v>
      </c>
      <c r="Q189" s="627">
        <f t="shared" si="144"/>
        <v>0</v>
      </c>
      <c r="R189" s="627">
        <f t="shared" si="144"/>
        <v>0</v>
      </c>
      <c r="S189" s="628">
        <f t="shared" si="144"/>
        <v>0</v>
      </c>
      <c r="T189" s="629">
        <f t="shared" si="126"/>
        <v>1416</v>
      </c>
      <c r="U189" s="630">
        <f t="shared" ref="U189:X190" si="145">U191+U193+U195+U197</f>
        <v>1416</v>
      </c>
      <c r="V189" s="631">
        <f t="shared" si="145"/>
        <v>0</v>
      </c>
      <c r="W189" s="631">
        <f t="shared" si="145"/>
        <v>0</v>
      </c>
      <c r="X189" s="632">
        <f t="shared" si="145"/>
        <v>0</v>
      </c>
      <c r="Y189" s="633">
        <f t="shared" si="131"/>
        <v>10880</v>
      </c>
      <c r="Z189" s="634">
        <f t="shared" ref="Z189:AC190" si="146">Z191+Z193+Z195+Z197</f>
        <v>5696</v>
      </c>
      <c r="AA189" s="635">
        <f t="shared" si="146"/>
        <v>0</v>
      </c>
      <c r="AB189" s="635">
        <f t="shared" si="146"/>
        <v>4934</v>
      </c>
      <c r="AC189" s="636">
        <f t="shared" si="146"/>
        <v>250</v>
      </c>
    </row>
    <row r="190" spans="1:29" s="253" customFormat="1" hidden="1" x14ac:dyDescent="0.2">
      <c r="A190" s="1329"/>
      <c r="B190" s="1323"/>
      <c r="C190" s="1323"/>
      <c r="D190" s="1323"/>
      <c r="E190" s="1278"/>
      <c r="F190" s="1323"/>
      <c r="G190" s="1319"/>
      <c r="H190" s="1317"/>
      <c r="I190" s="331" t="s">
        <v>73</v>
      </c>
      <c r="J190" s="332">
        <f t="shared" si="134"/>
        <v>19619</v>
      </c>
      <c r="K190" s="333">
        <f t="shared" si="143"/>
        <v>6364</v>
      </c>
      <c r="L190" s="334">
        <f t="shared" si="143"/>
        <v>4494</v>
      </c>
      <c r="M190" s="334">
        <f t="shared" si="143"/>
        <v>7385</v>
      </c>
      <c r="N190" s="335">
        <f t="shared" si="143"/>
        <v>1376</v>
      </c>
      <c r="O190" s="336">
        <f t="shared" si="128"/>
        <v>0</v>
      </c>
      <c r="P190" s="337">
        <f t="shared" si="144"/>
        <v>0</v>
      </c>
      <c r="Q190" s="338">
        <f t="shared" si="144"/>
        <v>0</v>
      </c>
      <c r="R190" s="338">
        <f t="shared" si="144"/>
        <v>0</v>
      </c>
      <c r="S190" s="339">
        <f t="shared" si="144"/>
        <v>0</v>
      </c>
      <c r="T190" s="340">
        <f t="shared" si="126"/>
        <v>1416</v>
      </c>
      <c r="U190" s="341">
        <f t="shared" si="145"/>
        <v>152</v>
      </c>
      <c r="V190" s="342">
        <f t="shared" si="145"/>
        <v>1264</v>
      </c>
      <c r="W190" s="342">
        <f t="shared" si="145"/>
        <v>0</v>
      </c>
      <c r="X190" s="432">
        <f t="shared" si="145"/>
        <v>0</v>
      </c>
      <c r="Y190" s="433">
        <f t="shared" si="131"/>
        <v>18203</v>
      </c>
      <c r="Z190" s="345">
        <f t="shared" si="146"/>
        <v>6212</v>
      </c>
      <c r="AA190" s="346">
        <f t="shared" si="146"/>
        <v>3230</v>
      </c>
      <c r="AB190" s="346">
        <f t="shared" si="146"/>
        <v>7385</v>
      </c>
      <c r="AC190" s="347">
        <f t="shared" si="146"/>
        <v>1376</v>
      </c>
    </row>
    <row r="191" spans="1:29" s="453" customFormat="1" hidden="1" x14ac:dyDescent="0.2">
      <c r="A191" s="1363"/>
      <c r="B191" s="1322"/>
      <c r="C191" s="1322"/>
      <c r="D191" s="1322"/>
      <c r="E191" s="1322"/>
      <c r="F191" s="1314" t="s">
        <v>74</v>
      </c>
      <c r="G191" s="1308" t="s">
        <v>241</v>
      </c>
      <c r="H191" s="1310" t="s">
        <v>242</v>
      </c>
      <c r="I191" s="579" t="s">
        <v>72</v>
      </c>
      <c r="J191" s="471">
        <f t="shared" ref="J191:N200" si="147">O191+T191+Y191</f>
        <v>2910</v>
      </c>
      <c r="K191" s="472">
        <f t="shared" si="147"/>
        <v>2672</v>
      </c>
      <c r="L191" s="473">
        <f t="shared" si="147"/>
        <v>0</v>
      </c>
      <c r="M191" s="473">
        <f t="shared" si="147"/>
        <v>164</v>
      </c>
      <c r="N191" s="474">
        <f t="shared" si="147"/>
        <v>74</v>
      </c>
      <c r="O191" s="546">
        <f t="shared" si="128"/>
        <v>0</v>
      </c>
      <c r="P191" s="472"/>
      <c r="Q191" s="473"/>
      <c r="R191" s="473"/>
      <c r="S191" s="476"/>
      <c r="T191" s="637">
        <f t="shared" si="126"/>
        <v>0</v>
      </c>
      <c r="U191" s="478"/>
      <c r="V191" s="479"/>
      <c r="W191" s="479"/>
      <c r="X191" s="480"/>
      <c r="Y191" s="546">
        <f t="shared" si="131"/>
        <v>2910</v>
      </c>
      <c r="Z191" s="472">
        <f>7472-4800</f>
        <v>2672</v>
      </c>
      <c r="AA191" s="473"/>
      <c r="AB191" s="473">
        <f>164</f>
        <v>164</v>
      </c>
      <c r="AC191" s="474">
        <f>74</f>
        <v>74</v>
      </c>
    </row>
    <row r="192" spans="1:29" s="253" customFormat="1" hidden="1" x14ac:dyDescent="0.2">
      <c r="A192" s="1329"/>
      <c r="B192" s="1323"/>
      <c r="C192" s="1323"/>
      <c r="D192" s="1323"/>
      <c r="E192" s="1323"/>
      <c r="F192" s="1315"/>
      <c r="G192" s="1309"/>
      <c r="H192" s="1311"/>
      <c r="I192" s="290" t="s">
        <v>73</v>
      </c>
      <c r="J192" s="291">
        <f t="shared" si="147"/>
        <v>10233</v>
      </c>
      <c r="K192" s="292">
        <f t="shared" si="147"/>
        <v>3918</v>
      </c>
      <c r="L192" s="293">
        <f t="shared" si="147"/>
        <v>2500</v>
      </c>
      <c r="M192" s="293">
        <f t="shared" si="147"/>
        <v>2615</v>
      </c>
      <c r="N192" s="294">
        <f t="shared" si="147"/>
        <v>1200</v>
      </c>
      <c r="O192" s="295">
        <f t="shared" si="128"/>
        <v>0</v>
      </c>
      <c r="P192" s="292"/>
      <c r="Q192" s="293"/>
      <c r="R192" s="293"/>
      <c r="S192" s="296"/>
      <c r="T192" s="297">
        <f t="shared" si="126"/>
        <v>0</v>
      </c>
      <c r="U192" s="298"/>
      <c r="V192" s="299"/>
      <c r="W192" s="299"/>
      <c r="X192" s="431"/>
      <c r="Y192" s="295">
        <f t="shared" si="131"/>
        <v>10233</v>
      </c>
      <c r="Z192" s="292">
        <f>396+2000+590+867+35+30</f>
        <v>3918</v>
      </c>
      <c r="AA192" s="293">
        <f>2000+500+4800-4800</f>
        <v>2500</v>
      </c>
      <c r="AB192" s="293">
        <f>2000+500+115</f>
        <v>2615</v>
      </c>
      <c r="AC192" s="293">
        <f>626+500+74</f>
        <v>1200</v>
      </c>
    </row>
    <row r="193" spans="1:29" s="453" customFormat="1" hidden="1" x14ac:dyDescent="0.2">
      <c r="A193" s="1363"/>
      <c r="B193" s="1322"/>
      <c r="C193" s="1322"/>
      <c r="D193" s="1322"/>
      <c r="E193" s="1322"/>
      <c r="F193" s="1314" t="s">
        <v>131</v>
      </c>
      <c r="G193" s="1308" t="s">
        <v>243</v>
      </c>
      <c r="H193" s="1310" t="s">
        <v>244</v>
      </c>
      <c r="I193" s="579" t="s">
        <v>72</v>
      </c>
      <c r="J193" s="471">
        <f t="shared" si="147"/>
        <v>9277</v>
      </c>
      <c r="K193" s="472">
        <f t="shared" si="147"/>
        <v>4331</v>
      </c>
      <c r="L193" s="473">
        <f t="shared" si="147"/>
        <v>0</v>
      </c>
      <c r="M193" s="473">
        <f t="shared" si="147"/>
        <v>4770</v>
      </c>
      <c r="N193" s="474">
        <f t="shared" si="147"/>
        <v>176</v>
      </c>
      <c r="O193" s="546">
        <f t="shared" si="128"/>
        <v>0</v>
      </c>
      <c r="P193" s="472"/>
      <c r="Q193" s="473"/>
      <c r="R193" s="473"/>
      <c r="S193" s="476"/>
      <c r="T193" s="637">
        <f t="shared" si="126"/>
        <v>1416</v>
      </c>
      <c r="U193" s="478">
        <f>4232-2816</f>
        <v>1416</v>
      </c>
      <c r="V193" s="479"/>
      <c r="W193" s="479"/>
      <c r="X193" s="480"/>
      <c r="Y193" s="546">
        <f t="shared" si="131"/>
        <v>7861</v>
      </c>
      <c r="Z193" s="472">
        <f>2924-9</f>
        <v>2915</v>
      </c>
      <c r="AA193" s="473"/>
      <c r="AB193" s="473">
        <f>4774-4</f>
        <v>4770</v>
      </c>
      <c r="AC193" s="474">
        <f>176</f>
        <v>176</v>
      </c>
    </row>
    <row r="194" spans="1:29" s="253" customFormat="1" hidden="1" x14ac:dyDescent="0.2">
      <c r="A194" s="1329"/>
      <c r="B194" s="1323"/>
      <c r="C194" s="1323"/>
      <c r="D194" s="1323"/>
      <c r="E194" s="1323"/>
      <c r="F194" s="1315"/>
      <c r="G194" s="1309"/>
      <c r="H194" s="1311"/>
      <c r="I194" s="290" t="s">
        <v>73</v>
      </c>
      <c r="J194" s="291">
        <f t="shared" si="147"/>
        <v>9277</v>
      </c>
      <c r="K194" s="292">
        <f t="shared" si="147"/>
        <v>2437</v>
      </c>
      <c r="L194" s="293">
        <f t="shared" si="147"/>
        <v>1894</v>
      </c>
      <c r="M194" s="293">
        <f t="shared" si="147"/>
        <v>4770</v>
      </c>
      <c r="N194" s="294">
        <f t="shared" si="147"/>
        <v>176</v>
      </c>
      <c r="O194" s="295">
        <f t="shared" si="128"/>
        <v>0</v>
      </c>
      <c r="P194" s="292"/>
      <c r="Q194" s="293"/>
      <c r="R194" s="293"/>
      <c r="S194" s="296"/>
      <c r="T194" s="297">
        <f t="shared" si="126"/>
        <v>1416</v>
      </c>
      <c r="U194" s="298">
        <f>1552-1400</f>
        <v>152</v>
      </c>
      <c r="V194" s="299">
        <v>1264</v>
      </c>
      <c r="W194" s="299">
        <f>1416-1416</f>
        <v>0</v>
      </c>
      <c r="X194" s="431"/>
      <c r="Y194" s="295">
        <f t="shared" si="131"/>
        <v>7861</v>
      </c>
      <c r="Z194" s="293">
        <f>2294-9</f>
        <v>2285</v>
      </c>
      <c r="AA194" s="293">
        <f>630</f>
        <v>630</v>
      </c>
      <c r="AB194" s="293">
        <f>4774-4</f>
        <v>4770</v>
      </c>
      <c r="AC194" s="293">
        <f>176</f>
        <v>176</v>
      </c>
    </row>
    <row r="195" spans="1:29" s="453" customFormat="1" hidden="1" x14ac:dyDescent="0.2">
      <c r="A195" s="1363"/>
      <c r="B195" s="1322"/>
      <c r="C195" s="1322"/>
      <c r="D195" s="1322"/>
      <c r="E195" s="1322"/>
      <c r="F195" s="1314" t="s">
        <v>66</v>
      </c>
      <c r="G195" s="1308" t="s">
        <v>245</v>
      </c>
      <c r="H195" s="1310" t="s">
        <v>246</v>
      </c>
      <c r="I195" s="579" t="s">
        <v>72</v>
      </c>
      <c r="J195" s="471">
        <f t="shared" si="147"/>
        <v>0</v>
      </c>
      <c r="K195" s="472">
        <f t="shared" si="147"/>
        <v>0</v>
      </c>
      <c r="L195" s="473">
        <f t="shared" si="147"/>
        <v>0</v>
      </c>
      <c r="M195" s="473">
        <f t="shared" si="147"/>
        <v>0</v>
      </c>
      <c r="N195" s="474">
        <f t="shared" si="147"/>
        <v>0</v>
      </c>
      <c r="O195" s="546">
        <f t="shared" si="128"/>
        <v>0</v>
      </c>
      <c r="P195" s="472"/>
      <c r="Q195" s="473"/>
      <c r="R195" s="473"/>
      <c r="S195" s="476"/>
      <c r="T195" s="637">
        <f t="shared" si="126"/>
        <v>0</v>
      </c>
      <c r="U195" s="478"/>
      <c r="V195" s="479"/>
      <c r="W195" s="479"/>
      <c r="X195" s="480"/>
      <c r="Y195" s="546">
        <f t="shared" si="131"/>
        <v>0</v>
      </c>
      <c r="Z195" s="472"/>
      <c r="AA195" s="472"/>
      <c r="AB195" s="473"/>
      <c r="AC195" s="474"/>
    </row>
    <row r="196" spans="1:29" s="253" customFormat="1" hidden="1" x14ac:dyDescent="0.2">
      <c r="A196" s="1329"/>
      <c r="B196" s="1323"/>
      <c r="C196" s="1323"/>
      <c r="D196" s="1323"/>
      <c r="E196" s="1323"/>
      <c r="F196" s="1315"/>
      <c r="G196" s="1309"/>
      <c r="H196" s="1311"/>
      <c r="I196" s="290" t="s">
        <v>73</v>
      </c>
      <c r="J196" s="291">
        <f t="shared" si="147"/>
        <v>0</v>
      </c>
      <c r="K196" s="292">
        <f t="shared" si="147"/>
        <v>0</v>
      </c>
      <c r="L196" s="293">
        <f t="shared" si="147"/>
        <v>0</v>
      </c>
      <c r="M196" s="293">
        <f t="shared" si="147"/>
        <v>0</v>
      </c>
      <c r="N196" s="294">
        <f t="shared" si="147"/>
        <v>0</v>
      </c>
      <c r="O196" s="295">
        <f t="shared" si="128"/>
        <v>0</v>
      </c>
      <c r="P196" s="292"/>
      <c r="Q196" s="293"/>
      <c r="R196" s="293"/>
      <c r="S196" s="296"/>
      <c r="T196" s="297">
        <f t="shared" si="126"/>
        <v>0</v>
      </c>
      <c r="U196" s="298"/>
      <c r="V196" s="299"/>
      <c r="W196" s="299"/>
      <c r="X196" s="431"/>
      <c r="Y196" s="295">
        <f t="shared" si="131"/>
        <v>0</v>
      </c>
      <c r="Z196" s="292"/>
      <c r="AA196" s="293"/>
      <c r="AB196" s="293"/>
      <c r="AC196" s="294"/>
    </row>
    <row r="197" spans="1:29" s="453" customFormat="1" hidden="1" x14ac:dyDescent="0.2">
      <c r="A197" s="1363"/>
      <c r="B197" s="1322"/>
      <c r="C197" s="1322"/>
      <c r="D197" s="1322"/>
      <c r="E197" s="1322"/>
      <c r="F197" s="1314" t="s">
        <v>128</v>
      </c>
      <c r="G197" s="1308" t="s">
        <v>247</v>
      </c>
      <c r="H197" s="1310" t="s">
        <v>248</v>
      </c>
      <c r="I197" s="638" t="s">
        <v>72</v>
      </c>
      <c r="J197" s="471">
        <f t="shared" si="147"/>
        <v>109</v>
      </c>
      <c r="K197" s="472">
        <f t="shared" si="147"/>
        <v>109</v>
      </c>
      <c r="L197" s="473">
        <f t="shared" si="147"/>
        <v>0</v>
      </c>
      <c r="M197" s="473">
        <f t="shared" si="147"/>
        <v>0</v>
      </c>
      <c r="N197" s="474">
        <f t="shared" si="147"/>
        <v>0</v>
      </c>
      <c r="O197" s="546">
        <f t="shared" si="128"/>
        <v>0</v>
      </c>
      <c r="P197" s="472"/>
      <c r="Q197" s="473"/>
      <c r="R197" s="473"/>
      <c r="S197" s="476"/>
      <c r="T197" s="637">
        <f t="shared" si="126"/>
        <v>0</v>
      </c>
      <c r="U197" s="478"/>
      <c r="V197" s="479"/>
      <c r="W197" s="479"/>
      <c r="X197" s="480"/>
      <c r="Y197" s="546">
        <f t="shared" si="131"/>
        <v>109</v>
      </c>
      <c r="Z197" s="472">
        <f>167+9-67</f>
        <v>109</v>
      </c>
      <c r="AA197" s="472"/>
      <c r="AB197" s="473"/>
      <c r="AC197" s="474"/>
    </row>
    <row r="198" spans="1:29" s="253" customFormat="1" hidden="1" x14ac:dyDescent="0.2">
      <c r="A198" s="1329"/>
      <c r="B198" s="1323"/>
      <c r="C198" s="1323"/>
      <c r="D198" s="1323"/>
      <c r="E198" s="1323"/>
      <c r="F198" s="1315"/>
      <c r="G198" s="1309"/>
      <c r="H198" s="1311"/>
      <c r="I198" s="372" t="s">
        <v>73</v>
      </c>
      <c r="J198" s="291">
        <f t="shared" si="147"/>
        <v>109</v>
      </c>
      <c r="K198" s="292">
        <f t="shared" si="147"/>
        <v>9</v>
      </c>
      <c r="L198" s="293">
        <f t="shared" si="147"/>
        <v>100</v>
      </c>
      <c r="M198" s="293">
        <f t="shared" si="147"/>
        <v>0</v>
      </c>
      <c r="N198" s="294">
        <f t="shared" si="147"/>
        <v>0</v>
      </c>
      <c r="O198" s="295">
        <f t="shared" si="128"/>
        <v>0</v>
      </c>
      <c r="P198" s="292"/>
      <c r="Q198" s="293"/>
      <c r="R198" s="293"/>
      <c r="S198" s="296"/>
      <c r="T198" s="297">
        <f t="shared" si="126"/>
        <v>0</v>
      </c>
      <c r="U198" s="298"/>
      <c r="V198" s="299"/>
      <c r="W198" s="299"/>
      <c r="X198" s="431"/>
      <c r="Y198" s="295">
        <f t="shared" si="131"/>
        <v>109</v>
      </c>
      <c r="Z198" s="292">
        <f>9</f>
        <v>9</v>
      </c>
      <c r="AA198" s="292">
        <f>167-67</f>
        <v>100</v>
      </c>
      <c r="AB198" s="293"/>
      <c r="AC198" s="294"/>
    </row>
    <row r="199" spans="1:29" s="453" customFormat="1" hidden="1" x14ac:dyDescent="0.2">
      <c r="A199" s="1363"/>
      <c r="B199" s="1322"/>
      <c r="C199" s="1322"/>
      <c r="D199" s="1277" t="s">
        <v>94</v>
      </c>
      <c r="E199" s="1292" t="s">
        <v>66</v>
      </c>
      <c r="F199" s="1322"/>
      <c r="G199" s="1279" t="s">
        <v>249</v>
      </c>
      <c r="H199" s="1375">
        <v>71.03</v>
      </c>
      <c r="I199" s="493" t="s">
        <v>72</v>
      </c>
      <c r="J199" s="621">
        <f t="shared" si="147"/>
        <v>2663</v>
      </c>
      <c r="K199" s="622">
        <f>P199+U199+Z199</f>
        <v>1268</v>
      </c>
      <c r="L199" s="623">
        <f>Q199+V199+AA199</f>
        <v>0</v>
      </c>
      <c r="M199" s="623">
        <f t="shared" si="147"/>
        <v>35</v>
      </c>
      <c r="N199" s="624">
        <f t="shared" si="147"/>
        <v>1360</v>
      </c>
      <c r="O199" s="625">
        <f t="shared" si="128"/>
        <v>0</v>
      </c>
      <c r="P199" s="626"/>
      <c r="Q199" s="627"/>
      <c r="R199" s="627"/>
      <c r="S199" s="628"/>
      <c r="T199" s="629">
        <f t="shared" si="126"/>
        <v>0</v>
      </c>
      <c r="U199" s="630"/>
      <c r="V199" s="631"/>
      <c r="W199" s="631"/>
      <c r="X199" s="632"/>
      <c r="Y199" s="633">
        <f t="shared" si="131"/>
        <v>2663</v>
      </c>
      <c r="Z199" s="635">
        <v>1268</v>
      </c>
      <c r="AA199" s="635"/>
      <c r="AB199" s="577">
        <f>35</f>
        <v>35</v>
      </c>
      <c r="AC199" s="639">
        <f>1360</f>
        <v>1360</v>
      </c>
    </row>
    <row r="200" spans="1:29" s="253" customFormat="1" ht="16" hidden="1" thickBot="1" x14ac:dyDescent="0.25">
      <c r="A200" s="1266"/>
      <c r="B200" s="1268"/>
      <c r="C200" s="1268"/>
      <c r="D200" s="1304"/>
      <c r="E200" s="1370"/>
      <c r="F200" s="1268"/>
      <c r="G200" s="1290"/>
      <c r="H200" s="1376"/>
      <c r="I200" s="640" t="s">
        <v>73</v>
      </c>
      <c r="J200" s="641">
        <f t="shared" si="147"/>
        <v>353</v>
      </c>
      <c r="K200" s="642">
        <f>P200+U200+Z200</f>
        <v>318</v>
      </c>
      <c r="L200" s="643">
        <f>Q200+V200+AA200</f>
        <v>0</v>
      </c>
      <c r="M200" s="643">
        <f t="shared" si="147"/>
        <v>35</v>
      </c>
      <c r="N200" s="644">
        <f t="shared" si="147"/>
        <v>0</v>
      </c>
      <c r="O200" s="645">
        <f t="shared" si="128"/>
        <v>0</v>
      </c>
      <c r="P200" s="646"/>
      <c r="Q200" s="647"/>
      <c r="R200" s="647"/>
      <c r="S200" s="647"/>
      <c r="T200" s="648">
        <f t="shared" si="126"/>
        <v>0</v>
      </c>
      <c r="U200" s="649"/>
      <c r="V200" s="650"/>
      <c r="W200" s="650"/>
      <c r="X200" s="651"/>
      <c r="Y200" s="652">
        <f t="shared" si="131"/>
        <v>353</v>
      </c>
      <c r="Z200" s="653">
        <f>1268-950</f>
        <v>318</v>
      </c>
      <c r="AA200" s="654"/>
      <c r="AB200" s="655">
        <f>35</f>
        <v>35</v>
      </c>
      <c r="AC200" s="656"/>
    </row>
    <row r="201" spans="1:29" s="453" customFormat="1" hidden="1" x14ac:dyDescent="0.2">
      <c r="A201" s="1265"/>
      <c r="B201" s="1284" t="s">
        <v>74</v>
      </c>
      <c r="C201" s="1383"/>
      <c r="D201" s="1383"/>
      <c r="E201" s="1383"/>
      <c r="F201" s="1383"/>
      <c r="G201" s="1289" t="s">
        <v>250</v>
      </c>
      <c r="H201" s="1271" t="s">
        <v>211</v>
      </c>
      <c r="I201" s="657" t="s">
        <v>72</v>
      </c>
      <c r="J201" s="508">
        <f>K201+L201+M201+N201</f>
        <v>2295620</v>
      </c>
      <c r="K201" s="658">
        <f>K203</f>
        <v>2288541</v>
      </c>
      <c r="L201" s="659">
        <f t="shared" ref="L201:N202" si="148">L203</f>
        <v>0</v>
      </c>
      <c r="M201" s="659">
        <f t="shared" si="148"/>
        <v>5469</v>
      </c>
      <c r="N201" s="511">
        <f t="shared" si="148"/>
        <v>1610</v>
      </c>
      <c r="O201" s="512">
        <f>P201+Q201+R201+S201</f>
        <v>1172689</v>
      </c>
      <c r="P201" s="660">
        <f>P203</f>
        <v>1172689</v>
      </c>
      <c r="Q201" s="515">
        <f t="shared" ref="Q201:S202" si="149">Q203</f>
        <v>0</v>
      </c>
      <c r="R201" s="515">
        <f t="shared" si="149"/>
        <v>0</v>
      </c>
      <c r="S201" s="515">
        <f t="shared" si="149"/>
        <v>0</v>
      </c>
      <c r="T201" s="661">
        <f>U201+V201+W201+X201</f>
        <v>694794</v>
      </c>
      <c r="U201" s="662">
        <f>U203</f>
        <v>694794</v>
      </c>
      <c r="V201" s="663">
        <f t="shared" ref="V201:X202" si="150">V203</f>
        <v>0</v>
      </c>
      <c r="W201" s="663">
        <f t="shared" si="150"/>
        <v>0</v>
      </c>
      <c r="X201" s="664">
        <f t="shared" si="150"/>
        <v>0</v>
      </c>
      <c r="Y201" s="520">
        <f t="shared" si="131"/>
        <v>428137</v>
      </c>
      <c r="Z201" s="665">
        <f>Z203</f>
        <v>421058</v>
      </c>
      <c r="AA201" s="666">
        <f t="shared" ref="AA201:AC202" si="151">AA203</f>
        <v>0</v>
      </c>
      <c r="AB201" s="666">
        <f t="shared" si="151"/>
        <v>5469</v>
      </c>
      <c r="AC201" s="523">
        <f t="shared" si="151"/>
        <v>1610</v>
      </c>
    </row>
    <row r="202" spans="1:29" s="253" customFormat="1" hidden="1" x14ac:dyDescent="0.2">
      <c r="A202" s="1329"/>
      <c r="B202" s="1278"/>
      <c r="C202" s="1315"/>
      <c r="D202" s="1315"/>
      <c r="E202" s="1315"/>
      <c r="F202" s="1315"/>
      <c r="G202" s="1280"/>
      <c r="H202" s="1272"/>
      <c r="I202" s="331" t="s">
        <v>73</v>
      </c>
      <c r="J202" s="667">
        <f>K202+L202+M202+N202</f>
        <v>1048777</v>
      </c>
      <c r="K202" s="668">
        <f>K204</f>
        <v>330242</v>
      </c>
      <c r="L202" s="669">
        <f t="shared" si="148"/>
        <v>251100</v>
      </c>
      <c r="M202" s="669">
        <f t="shared" si="148"/>
        <v>237253</v>
      </c>
      <c r="N202" s="670">
        <f t="shared" si="148"/>
        <v>230182</v>
      </c>
      <c r="O202" s="671">
        <f>P202+Q202+R202+S202</f>
        <v>61800</v>
      </c>
      <c r="P202" s="672">
        <f>P204</f>
        <v>18303</v>
      </c>
      <c r="Q202" s="673">
        <f t="shared" si="149"/>
        <v>15589</v>
      </c>
      <c r="R202" s="673">
        <f t="shared" si="149"/>
        <v>19661</v>
      </c>
      <c r="S202" s="674">
        <f t="shared" si="149"/>
        <v>8247</v>
      </c>
      <c r="T202" s="675">
        <f>U202+V202+W202+X202</f>
        <v>553786</v>
      </c>
      <c r="U202" s="676">
        <f>U204</f>
        <v>182598</v>
      </c>
      <c r="V202" s="677">
        <f t="shared" si="150"/>
        <v>128840</v>
      </c>
      <c r="W202" s="677">
        <f t="shared" si="150"/>
        <v>109902</v>
      </c>
      <c r="X202" s="678">
        <f t="shared" si="150"/>
        <v>132446</v>
      </c>
      <c r="Y202" s="679">
        <f t="shared" si="131"/>
        <v>433191</v>
      </c>
      <c r="Z202" s="680">
        <f>Z204</f>
        <v>129341</v>
      </c>
      <c r="AA202" s="681">
        <f t="shared" si="151"/>
        <v>106671</v>
      </c>
      <c r="AB202" s="681">
        <f t="shared" si="151"/>
        <v>107690</v>
      </c>
      <c r="AC202" s="682">
        <f t="shared" si="151"/>
        <v>89489</v>
      </c>
    </row>
    <row r="203" spans="1:29" s="253" customFormat="1" hidden="1" x14ac:dyDescent="0.2">
      <c r="A203" s="1363"/>
      <c r="B203" s="1275"/>
      <c r="C203" s="1277" t="s">
        <v>66</v>
      </c>
      <c r="D203" s="1322"/>
      <c r="E203" s="1322"/>
      <c r="F203" s="1322"/>
      <c r="G203" s="1334" t="s">
        <v>251</v>
      </c>
      <c r="H203" s="1310" t="s">
        <v>252</v>
      </c>
      <c r="I203" s="683" t="s">
        <v>72</v>
      </c>
      <c r="J203" s="684">
        <f>K203+L203+M203+N203</f>
        <v>2295620</v>
      </c>
      <c r="K203" s="685">
        <f t="shared" ref="K203:N204" si="152">P203+U203+Z203</f>
        <v>2288541</v>
      </c>
      <c r="L203" s="686">
        <f t="shared" si="152"/>
        <v>0</v>
      </c>
      <c r="M203" s="686">
        <f t="shared" si="152"/>
        <v>5469</v>
      </c>
      <c r="N203" s="687">
        <f t="shared" si="152"/>
        <v>1610</v>
      </c>
      <c r="O203" s="688">
        <f>P203+Q203+R203+S203</f>
        <v>1172689</v>
      </c>
      <c r="P203" s="685">
        <f t="shared" ref="P203:S204" si="153">P45</f>
        <v>1172689</v>
      </c>
      <c r="Q203" s="686">
        <f t="shared" si="153"/>
        <v>0</v>
      </c>
      <c r="R203" s="686">
        <f t="shared" si="153"/>
        <v>0</v>
      </c>
      <c r="S203" s="689">
        <f t="shared" si="153"/>
        <v>0</v>
      </c>
      <c r="T203" s="684">
        <f>U203+V203+W203+X203</f>
        <v>694794</v>
      </c>
      <c r="U203" s="685">
        <f t="shared" ref="U203:X204" si="154">U45</f>
        <v>694794</v>
      </c>
      <c r="V203" s="686">
        <f t="shared" si="154"/>
        <v>0</v>
      </c>
      <c r="W203" s="686">
        <f t="shared" si="154"/>
        <v>0</v>
      </c>
      <c r="X203" s="687">
        <f t="shared" si="154"/>
        <v>0</v>
      </c>
      <c r="Y203" s="688">
        <f t="shared" si="131"/>
        <v>428137</v>
      </c>
      <c r="Z203" s="685">
        <f t="shared" ref="Z203:AC204" si="155">Z45</f>
        <v>421058</v>
      </c>
      <c r="AA203" s="686">
        <f t="shared" si="155"/>
        <v>0</v>
      </c>
      <c r="AB203" s="686">
        <f t="shared" si="155"/>
        <v>5469</v>
      </c>
      <c r="AC203" s="687">
        <f t="shared" si="155"/>
        <v>1610</v>
      </c>
    </row>
    <row r="204" spans="1:29" s="253" customFormat="1" ht="16" hidden="1" thickBot="1" x14ac:dyDescent="0.25">
      <c r="A204" s="1266"/>
      <c r="B204" s="1307"/>
      <c r="C204" s="1304"/>
      <c r="D204" s="1268"/>
      <c r="E204" s="1268"/>
      <c r="F204" s="1268"/>
      <c r="G204" s="1382"/>
      <c r="H204" s="1338"/>
      <c r="I204" s="690" t="s">
        <v>73</v>
      </c>
      <c r="J204" s="385">
        <f>K204+L204+M204+N204</f>
        <v>1048777</v>
      </c>
      <c r="K204" s="386">
        <f t="shared" si="152"/>
        <v>330242</v>
      </c>
      <c r="L204" s="387">
        <f t="shared" si="152"/>
        <v>251100</v>
      </c>
      <c r="M204" s="387">
        <f t="shared" si="152"/>
        <v>237253</v>
      </c>
      <c r="N204" s="388">
        <f t="shared" si="152"/>
        <v>230182</v>
      </c>
      <c r="O204" s="389">
        <f>P204+Q204+R204+S204</f>
        <v>61800</v>
      </c>
      <c r="P204" s="386">
        <f t="shared" si="153"/>
        <v>18303</v>
      </c>
      <c r="Q204" s="387">
        <f t="shared" si="153"/>
        <v>15589</v>
      </c>
      <c r="R204" s="387">
        <f t="shared" si="153"/>
        <v>19661</v>
      </c>
      <c r="S204" s="390">
        <f t="shared" si="153"/>
        <v>8247</v>
      </c>
      <c r="T204" s="385">
        <f>U204+V204+W204+X204</f>
        <v>553786</v>
      </c>
      <c r="U204" s="386">
        <f t="shared" si="154"/>
        <v>182598</v>
      </c>
      <c r="V204" s="387">
        <f t="shared" si="154"/>
        <v>128840</v>
      </c>
      <c r="W204" s="387">
        <f t="shared" si="154"/>
        <v>109902</v>
      </c>
      <c r="X204" s="388">
        <f t="shared" si="154"/>
        <v>132446</v>
      </c>
      <c r="Y204" s="389">
        <f t="shared" si="131"/>
        <v>433191</v>
      </c>
      <c r="Z204" s="386">
        <f t="shared" si="155"/>
        <v>129341</v>
      </c>
      <c r="AA204" s="387">
        <f t="shared" si="155"/>
        <v>106671</v>
      </c>
      <c r="AB204" s="387">
        <f t="shared" si="155"/>
        <v>107690</v>
      </c>
      <c r="AC204" s="388">
        <f t="shared" si="155"/>
        <v>89489</v>
      </c>
    </row>
    <row r="205" spans="1:29" s="253" customFormat="1" ht="19.5" hidden="1" customHeight="1" x14ac:dyDescent="0.2">
      <c r="A205" s="691"/>
      <c r="B205" s="692"/>
      <c r="C205" s="692"/>
      <c r="D205" s="692"/>
      <c r="E205" s="692"/>
      <c r="F205" s="692"/>
      <c r="G205" s="692"/>
      <c r="H205" s="692"/>
      <c r="I205" s="692"/>
      <c r="J205" s="692"/>
      <c r="K205" s="692"/>
      <c r="L205" s="692"/>
      <c r="M205" s="692"/>
      <c r="N205" s="692"/>
      <c r="O205" s="692"/>
      <c r="P205" s="692"/>
      <c r="Q205" s="692"/>
      <c r="R205" s="692"/>
      <c r="S205" s="692"/>
      <c r="T205" s="692"/>
      <c r="U205" s="692"/>
      <c r="V205" s="692"/>
      <c r="W205" s="692"/>
      <c r="X205" s="692"/>
      <c r="Y205" s="692"/>
      <c r="Z205" s="692"/>
      <c r="AA205" s="692"/>
      <c r="AB205" s="692"/>
      <c r="AC205" s="693"/>
    </row>
    <row r="206" spans="1:29" s="253" customFormat="1" ht="28.5" hidden="1" customHeight="1" x14ac:dyDescent="0.2">
      <c r="A206" s="694" t="s">
        <v>32</v>
      </c>
      <c r="B206" s="695" t="s">
        <v>46</v>
      </c>
      <c r="C206" s="696"/>
      <c r="D206" s="696"/>
      <c r="E206" s="696"/>
      <c r="F206" s="696"/>
      <c r="G206" s="697" t="s">
        <v>253</v>
      </c>
      <c r="H206" s="698"/>
      <c r="I206" s="698"/>
      <c r="J206" s="699">
        <f>K206+L206+M206+N206</f>
        <v>4850</v>
      </c>
      <c r="K206" s="700">
        <f>K207+K210</f>
        <v>4805</v>
      </c>
      <c r="L206" s="701">
        <f>L207+L210</f>
        <v>45</v>
      </c>
      <c r="M206" s="701">
        <f>M207+M210</f>
        <v>0</v>
      </c>
      <c r="N206" s="699">
        <f>N207+N210</f>
        <v>0</v>
      </c>
      <c r="O206" s="702"/>
      <c r="P206" s="702"/>
      <c r="Q206" s="702"/>
      <c r="R206" s="702"/>
      <c r="S206" s="702"/>
      <c r="T206" s="552"/>
      <c r="U206" s="553"/>
      <c r="V206" s="551"/>
      <c r="W206" s="551"/>
      <c r="X206" s="552"/>
      <c r="Y206" s="699">
        <f>Z206+AA206+AB206+AC206</f>
        <v>4850</v>
      </c>
      <c r="Z206" s="700">
        <f>Z207+Z210</f>
        <v>4805</v>
      </c>
      <c r="AA206" s="701">
        <f>AA207+AA210</f>
        <v>45</v>
      </c>
      <c r="AB206" s="701">
        <f>AB207+AB210</f>
        <v>0</v>
      </c>
      <c r="AC206" s="699">
        <f>AC207+AC210</f>
        <v>0</v>
      </c>
    </row>
    <row r="207" spans="1:29" s="253" customFormat="1" ht="28.5" hidden="1" customHeight="1" x14ac:dyDescent="0.2">
      <c r="A207" s="703"/>
      <c r="B207" s="704"/>
      <c r="C207" s="696"/>
      <c r="D207" s="696"/>
      <c r="E207" s="696"/>
      <c r="F207" s="696"/>
      <c r="G207" s="697" t="s">
        <v>254</v>
      </c>
      <c r="H207" s="698"/>
      <c r="I207" s="698"/>
      <c r="J207" s="699">
        <f>K207+L207+M207+N207</f>
        <v>4084</v>
      </c>
      <c r="K207" s="700">
        <f>K208</f>
        <v>4084</v>
      </c>
      <c r="L207" s="701">
        <f t="shared" ref="L207:N208" si="156">L208</f>
        <v>0</v>
      </c>
      <c r="M207" s="701">
        <f t="shared" si="156"/>
        <v>0</v>
      </c>
      <c r="N207" s="699">
        <f t="shared" si="156"/>
        <v>0</v>
      </c>
      <c r="O207" s="702"/>
      <c r="P207" s="702"/>
      <c r="Q207" s="702"/>
      <c r="R207" s="702"/>
      <c r="S207" s="702"/>
      <c r="T207" s="552"/>
      <c r="U207" s="553"/>
      <c r="V207" s="551"/>
      <c r="W207" s="551"/>
      <c r="X207" s="552"/>
      <c r="Y207" s="699">
        <f>Z207+AA207+AB207+AC207</f>
        <v>4084</v>
      </c>
      <c r="Z207" s="700">
        <f t="shared" ref="Z207:AC208" si="157">Z208</f>
        <v>4084</v>
      </c>
      <c r="AA207" s="701">
        <f t="shared" si="157"/>
        <v>0</v>
      </c>
      <c r="AB207" s="701">
        <f t="shared" si="157"/>
        <v>0</v>
      </c>
      <c r="AC207" s="699">
        <f t="shared" si="157"/>
        <v>0</v>
      </c>
    </row>
    <row r="208" spans="1:29" s="253" customFormat="1" ht="19.5" hidden="1" customHeight="1" x14ac:dyDescent="0.2">
      <c r="A208" s="705" t="s">
        <v>255</v>
      </c>
      <c r="B208" s="113"/>
      <c r="C208" s="696"/>
      <c r="D208" s="696"/>
      <c r="E208" s="696"/>
      <c r="F208" s="696"/>
      <c r="G208" s="697" t="s">
        <v>256</v>
      </c>
      <c r="H208" s="706" t="s">
        <v>257</v>
      </c>
      <c r="I208" s="706"/>
      <c r="J208" s="699">
        <f>K208+L208+M208+N208</f>
        <v>4084</v>
      </c>
      <c r="K208" s="553">
        <f>K209</f>
        <v>4084</v>
      </c>
      <c r="L208" s="701">
        <f t="shared" si="156"/>
        <v>0</v>
      </c>
      <c r="M208" s="701">
        <f t="shared" si="156"/>
        <v>0</v>
      </c>
      <c r="N208" s="699">
        <f t="shared" si="156"/>
        <v>0</v>
      </c>
      <c r="O208" s="702"/>
      <c r="P208" s="702"/>
      <c r="Q208" s="702"/>
      <c r="R208" s="702"/>
      <c r="S208" s="702"/>
      <c r="T208" s="552"/>
      <c r="U208" s="553"/>
      <c r="V208" s="551"/>
      <c r="W208" s="551"/>
      <c r="X208" s="552"/>
      <c r="Y208" s="699">
        <f>Z208+AA208+AB208+AC208</f>
        <v>4084</v>
      </c>
      <c r="Z208" s="700">
        <f t="shared" si="157"/>
        <v>4084</v>
      </c>
      <c r="AA208" s="701">
        <f t="shared" si="157"/>
        <v>0</v>
      </c>
      <c r="AB208" s="701">
        <f t="shared" si="157"/>
        <v>0</v>
      </c>
      <c r="AC208" s="699">
        <f t="shared" si="157"/>
        <v>0</v>
      </c>
    </row>
    <row r="209" spans="1:29" s="253" customFormat="1" ht="15" hidden="1" customHeight="1" x14ac:dyDescent="0.2">
      <c r="A209" s="707"/>
      <c r="B209" s="708" t="s">
        <v>258</v>
      </c>
      <c r="C209" s="708"/>
      <c r="D209" s="708"/>
      <c r="E209" s="143"/>
      <c r="F209" s="143"/>
      <c r="G209" s="709" t="s">
        <v>259</v>
      </c>
      <c r="H209" s="710" t="s">
        <v>260</v>
      </c>
      <c r="I209" s="710"/>
      <c r="J209" s="711">
        <f>K209+L209+M209+N209</f>
        <v>4084</v>
      </c>
      <c r="K209" s="712">
        <f>U209+Z209</f>
        <v>4084</v>
      </c>
      <c r="L209" s="713">
        <f>V209+AA209</f>
        <v>0</v>
      </c>
      <c r="M209" s="713">
        <f>W209+AB209</f>
        <v>0</v>
      </c>
      <c r="N209" s="711">
        <f>X209+AC209</f>
        <v>0</v>
      </c>
      <c r="O209" s="714"/>
      <c r="P209" s="714"/>
      <c r="Q209" s="714"/>
      <c r="R209" s="714"/>
      <c r="S209" s="714"/>
      <c r="T209" s="711"/>
      <c r="U209" s="712"/>
      <c r="V209" s="713"/>
      <c r="W209" s="713"/>
      <c r="X209" s="711"/>
      <c r="Y209" s="711">
        <f>Z209+AA209+AB209+AC209</f>
        <v>4084</v>
      </c>
      <c r="Z209" s="712">
        <v>4084</v>
      </c>
      <c r="AA209" s="713"/>
      <c r="AB209" s="713"/>
      <c r="AC209" s="711"/>
    </row>
    <row r="210" spans="1:29" s="253" customFormat="1" ht="32.25" hidden="1" customHeight="1" x14ac:dyDescent="0.2">
      <c r="A210" s="112"/>
      <c r="B210" s="113"/>
      <c r="C210" s="114"/>
      <c r="D210" s="114"/>
      <c r="E210" s="114"/>
      <c r="F210" s="114"/>
      <c r="G210" s="115" t="s">
        <v>55</v>
      </c>
      <c r="H210" s="715"/>
      <c r="I210" s="715"/>
      <c r="J210" s="716">
        <f>K210+L210+M210+N210</f>
        <v>766</v>
      </c>
      <c r="K210" s="717">
        <f>K211+K213</f>
        <v>721</v>
      </c>
      <c r="L210" s="718">
        <f>L211+L213</f>
        <v>45</v>
      </c>
      <c r="M210" s="718">
        <f>M211+M213</f>
        <v>0</v>
      </c>
      <c r="N210" s="716">
        <f>N211+N213</f>
        <v>0</v>
      </c>
      <c r="O210" s="719"/>
      <c r="P210" s="719"/>
      <c r="Q210" s="719"/>
      <c r="R210" s="719"/>
      <c r="S210" s="719"/>
      <c r="T210" s="294"/>
      <c r="U210" s="292"/>
      <c r="V210" s="293"/>
      <c r="W210" s="293"/>
      <c r="X210" s="294"/>
      <c r="Y210" s="716">
        <f>Z210+AA210+AB210+AC210</f>
        <v>766</v>
      </c>
      <c r="Z210" s="717">
        <f>Z211+Z213</f>
        <v>721</v>
      </c>
      <c r="AA210" s="718">
        <f>AA211+AA213</f>
        <v>45</v>
      </c>
      <c r="AB210" s="718">
        <f>AB211+AB213</f>
        <v>0</v>
      </c>
      <c r="AC210" s="716">
        <f>AC211+AC213</f>
        <v>0</v>
      </c>
    </row>
    <row r="211" spans="1:29" s="253" customFormat="1" ht="32.25" hidden="1" customHeight="1" x14ac:dyDescent="0.2">
      <c r="A211" s="705" t="s">
        <v>261</v>
      </c>
      <c r="B211" s="113"/>
      <c r="C211" s="114"/>
      <c r="D211" s="114"/>
      <c r="E211" s="114"/>
      <c r="F211" s="114"/>
      <c r="G211" s="115" t="s">
        <v>262</v>
      </c>
      <c r="H211" s="720" t="s">
        <v>263</v>
      </c>
      <c r="I211" s="720"/>
      <c r="J211" s="716">
        <f t="shared" ref="J211:J221" si="158">K211+L211+M211+N211</f>
        <v>728</v>
      </c>
      <c r="K211" s="717">
        <f>K212</f>
        <v>721</v>
      </c>
      <c r="L211" s="718">
        <f>L212</f>
        <v>7</v>
      </c>
      <c r="M211" s="718">
        <f>M212</f>
        <v>0</v>
      </c>
      <c r="N211" s="716">
        <f>N212</f>
        <v>0</v>
      </c>
      <c r="O211" s="719"/>
      <c r="P211" s="719"/>
      <c r="Q211" s="719"/>
      <c r="R211" s="719"/>
      <c r="S211" s="719"/>
      <c r="T211" s="716"/>
      <c r="U211" s="717"/>
      <c r="V211" s="718"/>
      <c r="W211" s="718"/>
      <c r="X211" s="716"/>
      <c r="Y211" s="716">
        <f t="shared" ref="Y211:Y222" si="159">Z211+AA211+AB211+AC211</f>
        <v>728</v>
      </c>
      <c r="Z211" s="717">
        <f>Z212</f>
        <v>721</v>
      </c>
      <c r="AA211" s="718">
        <f>AA212</f>
        <v>7</v>
      </c>
      <c r="AB211" s="718">
        <f>AB212</f>
        <v>0</v>
      </c>
      <c r="AC211" s="716">
        <f>AC212</f>
        <v>0</v>
      </c>
    </row>
    <row r="212" spans="1:29" s="253" customFormat="1" ht="15.75" hidden="1" customHeight="1" x14ac:dyDescent="0.2">
      <c r="A212" s="112"/>
      <c r="B212" s="136" t="s">
        <v>264</v>
      </c>
      <c r="C212" s="136"/>
      <c r="D212" s="114"/>
      <c r="E212" s="114"/>
      <c r="F212" s="114"/>
      <c r="G212" s="115" t="s">
        <v>265</v>
      </c>
      <c r="H212" s="720" t="s">
        <v>266</v>
      </c>
      <c r="I212" s="720"/>
      <c r="J212" s="294">
        <f t="shared" si="158"/>
        <v>728</v>
      </c>
      <c r="K212" s="292">
        <f>U212+Z212</f>
        <v>721</v>
      </c>
      <c r="L212" s="293">
        <f>V212+AA212</f>
        <v>7</v>
      </c>
      <c r="M212" s="293">
        <f>W212+AB212</f>
        <v>0</v>
      </c>
      <c r="N212" s="294">
        <f>X212+AC212</f>
        <v>0</v>
      </c>
      <c r="O212" s="721"/>
      <c r="P212" s="721"/>
      <c r="Q212" s="721"/>
      <c r="R212" s="721"/>
      <c r="S212" s="721"/>
      <c r="T212" s="294"/>
      <c r="U212" s="292"/>
      <c r="V212" s="293"/>
      <c r="W212" s="293"/>
      <c r="X212" s="294"/>
      <c r="Y212" s="294">
        <f t="shared" si="159"/>
        <v>728</v>
      </c>
      <c r="Z212" s="292">
        <f>Z222</f>
        <v>721</v>
      </c>
      <c r="AA212" s="293">
        <f>AA222</f>
        <v>7</v>
      </c>
      <c r="AB212" s="293">
        <f>AB222</f>
        <v>0</v>
      </c>
      <c r="AC212" s="294">
        <f>AC222</f>
        <v>0</v>
      </c>
    </row>
    <row r="213" spans="1:29" s="253" customFormat="1" ht="15" hidden="1" customHeight="1" x14ac:dyDescent="0.2">
      <c r="A213" s="705" t="s">
        <v>267</v>
      </c>
      <c r="B213" s="113"/>
      <c r="C213" s="113"/>
      <c r="D213" s="114"/>
      <c r="E213" s="114"/>
      <c r="F213" s="114"/>
      <c r="G213" s="115" t="s">
        <v>268</v>
      </c>
      <c r="H213" s="720" t="s">
        <v>269</v>
      </c>
      <c r="I213" s="720"/>
      <c r="J213" s="716">
        <f t="shared" si="158"/>
        <v>38</v>
      </c>
      <c r="K213" s="717">
        <f>K214</f>
        <v>0</v>
      </c>
      <c r="L213" s="718">
        <f>L214</f>
        <v>38</v>
      </c>
      <c r="M213" s="718">
        <f>M214</f>
        <v>0</v>
      </c>
      <c r="N213" s="716">
        <f>N214</f>
        <v>0</v>
      </c>
      <c r="O213" s="719"/>
      <c r="P213" s="719"/>
      <c r="Q213" s="719"/>
      <c r="R213" s="719"/>
      <c r="S213" s="719"/>
      <c r="T213" s="716"/>
      <c r="U213" s="717"/>
      <c r="V213" s="718"/>
      <c r="W213" s="718"/>
      <c r="X213" s="716"/>
      <c r="Y213" s="716">
        <f t="shared" si="159"/>
        <v>38</v>
      </c>
      <c r="Z213" s="717">
        <f>Z214</f>
        <v>0</v>
      </c>
      <c r="AA213" s="718">
        <f>AA214</f>
        <v>38</v>
      </c>
      <c r="AB213" s="718">
        <f>AB214</f>
        <v>0</v>
      </c>
      <c r="AC213" s="716">
        <f>AC214</f>
        <v>0</v>
      </c>
    </row>
    <row r="214" spans="1:29" s="253" customFormat="1" ht="15" hidden="1" customHeight="1" x14ac:dyDescent="0.2">
      <c r="A214" s="722"/>
      <c r="B214" s="723" t="s">
        <v>230</v>
      </c>
      <c r="C214" s="723"/>
      <c r="D214" s="724"/>
      <c r="E214" s="724"/>
      <c r="F214" s="724"/>
      <c r="G214" s="725" t="s">
        <v>270</v>
      </c>
      <c r="H214" s="726" t="s">
        <v>271</v>
      </c>
      <c r="I214" s="726"/>
      <c r="J214" s="388">
        <f t="shared" si="158"/>
        <v>38</v>
      </c>
      <c r="K214" s="386">
        <f>U214+Z214</f>
        <v>0</v>
      </c>
      <c r="L214" s="387">
        <f>V214+AA214</f>
        <v>38</v>
      </c>
      <c r="M214" s="387">
        <f>W214+AB214</f>
        <v>0</v>
      </c>
      <c r="N214" s="388">
        <f>X214+AC214</f>
        <v>0</v>
      </c>
      <c r="O214" s="727"/>
      <c r="P214" s="727"/>
      <c r="Q214" s="727"/>
      <c r="R214" s="727"/>
      <c r="S214" s="727"/>
      <c r="T214" s="388"/>
      <c r="U214" s="386"/>
      <c r="V214" s="387"/>
      <c r="W214" s="387"/>
      <c r="X214" s="388"/>
      <c r="Y214" s="388">
        <f t="shared" si="159"/>
        <v>38</v>
      </c>
      <c r="Z214" s="386">
        <v>0</v>
      </c>
      <c r="AA214" s="387">
        <v>38</v>
      </c>
      <c r="AB214" s="387"/>
      <c r="AC214" s="388"/>
    </row>
    <row r="215" spans="1:29" s="253" customFormat="1" ht="38.25" hidden="1" customHeight="1" x14ac:dyDescent="0.2">
      <c r="A215" s="694" t="s">
        <v>272</v>
      </c>
      <c r="B215" s="728"/>
      <c r="C215" s="704"/>
      <c r="D215" s="728"/>
      <c r="E215" s="728"/>
      <c r="F215" s="728"/>
      <c r="G215" s="729" t="s">
        <v>273</v>
      </c>
      <c r="H215" s="730"/>
      <c r="I215" s="730"/>
      <c r="J215" s="731">
        <f t="shared" si="158"/>
        <v>4850</v>
      </c>
      <c r="K215" s="732">
        <f t="shared" ref="K215:N220" si="160">K216</f>
        <v>4805</v>
      </c>
      <c r="L215" s="733">
        <f t="shared" si="160"/>
        <v>45</v>
      </c>
      <c r="M215" s="733">
        <f t="shared" si="160"/>
        <v>0</v>
      </c>
      <c r="N215" s="731">
        <f t="shared" si="160"/>
        <v>0</v>
      </c>
      <c r="O215" s="734"/>
      <c r="P215" s="734"/>
      <c r="Q215" s="734"/>
      <c r="R215" s="734"/>
      <c r="S215" s="734"/>
      <c r="T215" s="527">
        <f t="shared" ref="T215:T223" si="161">U215+V215+W215+X215</f>
        <v>0</v>
      </c>
      <c r="U215" s="540">
        <f t="shared" ref="U215:X220" si="162">U216</f>
        <v>0</v>
      </c>
      <c r="V215" s="526">
        <f t="shared" si="162"/>
        <v>0</v>
      </c>
      <c r="W215" s="526">
        <f t="shared" si="162"/>
        <v>0</v>
      </c>
      <c r="X215" s="527">
        <f t="shared" si="162"/>
        <v>0</v>
      </c>
      <c r="Y215" s="731">
        <f t="shared" si="159"/>
        <v>4850</v>
      </c>
      <c r="Z215" s="732">
        <f t="shared" ref="Z215:AC220" si="163">Z216</f>
        <v>4805</v>
      </c>
      <c r="AA215" s="733">
        <f t="shared" si="163"/>
        <v>45</v>
      </c>
      <c r="AB215" s="733">
        <f t="shared" si="163"/>
        <v>0</v>
      </c>
      <c r="AC215" s="731">
        <f t="shared" si="163"/>
        <v>0</v>
      </c>
    </row>
    <row r="216" spans="1:29" s="253" customFormat="1" ht="25.5" hidden="1" customHeight="1" x14ac:dyDescent="0.2">
      <c r="A216" s="112"/>
      <c r="B216" s="136"/>
      <c r="C216" s="113"/>
      <c r="D216" s="136" t="s">
        <v>74</v>
      </c>
      <c r="E216" s="735"/>
      <c r="F216" s="735"/>
      <c r="G216" s="736" t="s">
        <v>75</v>
      </c>
      <c r="H216" s="737" t="s">
        <v>274</v>
      </c>
      <c r="I216" s="737"/>
      <c r="J216" s="670">
        <f t="shared" si="158"/>
        <v>4850</v>
      </c>
      <c r="K216" s="668">
        <f t="shared" si="160"/>
        <v>4805</v>
      </c>
      <c r="L216" s="669">
        <f t="shared" si="160"/>
        <v>45</v>
      </c>
      <c r="M216" s="669">
        <f t="shared" si="160"/>
        <v>0</v>
      </c>
      <c r="N216" s="670">
        <f t="shared" si="160"/>
        <v>0</v>
      </c>
      <c r="O216" s="738"/>
      <c r="P216" s="738"/>
      <c r="Q216" s="738"/>
      <c r="R216" s="738"/>
      <c r="S216" s="738"/>
      <c r="T216" s="350">
        <f t="shared" si="161"/>
        <v>0</v>
      </c>
      <c r="U216" s="507">
        <f t="shared" si="162"/>
        <v>0</v>
      </c>
      <c r="V216" s="349">
        <f t="shared" si="162"/>
        <v>0</v>
      </c>
      <c r="W216" s="349">
        <f t="shared" si="162"/>
        <v>0</v>
      </c>
      <c r="X216" s="350">
        <f t="shared" si="162"/>
        <v>0</v>
      </c>
      <c r="Y216" s="670">
        <f t="shared" si="159"/>
        <v>4850</v>
      </c>
      <c r="Z216" s="668">
        <f t="shared" si="163"/>
        <v>4805</v>
      </c>
      <c r="AA216" s="669">
        <f t="shared" si="163"/>
        <v>45</v>
      </c>
      <c r="AB216" s="669">
        <f t="shared" si="163"/>
        <v>0</v>
      </c>
      <c r="AC216" s="670">
        <f t="shared" si="163"/>
        <v>0</v>
      </c>
    </row>
    <row r="217" spans="1:29" s="253" customFormat="1" ht="15" hidden="1" customHeight="1" x14ac:dyDescent="0.2">
      <c r="A217" s="112"/>
      <c r="B217" s="735"/>
      <c r="C217" s="113"/>
      <c r="D217" s="113" t="s">
        <v>275</v>
      </c>
      <c r="E217" s="113"/>
      <c r="F217" s="735"/>
      <c r="G217" s="736" t="s">
        <v>276</v>
      </c>
      <c r="H217" s="737" t="s">
        <v>275</v>
      </c>
      <c r="I217" s="737"/>
      <c r="J217" s="670">
        <f t="shared" si="158"/>
        <v>4850</v>
      </c>
      <c r="K217" s="668">
        <f t="shared" si="160"/>
        <v>4805</v>
      </c>
      <c r="L217" s="669">
        <f t="shared" si="160"/>
        <v>45</v>
      </c>
      <c r="M217" s="669">
        <f t="shared" si="160"/>
        <v>0</v>
      </c>
      <c r="N217" s="670">
        <f t="shared" si="160"/>
        <v>0</v>
      </c>
      <c r="O217" s="738"/>
      <c r="P217" s="738"/>
      <c r="Q217" s="738"/>
      <c r="R217" s="738"/>
      <c r="S217" s="738"/>
      <c r="T217" s="350">
        <f t="shared" si="161"/>
        <v>0</v>
      </c>
      <c r="U217" s="507">
        <f t="shared" si="162"/>
        <v>0</v>
      </c>
      <c r="V217" s="349">
        <f t="shared" si="162"/>
        <v>0</v>
      </c>
      <c r="W217" s="349">
        <f t="shared" si="162"/>
        <v>0</v>
      </c>
      <c r="X217" s="350">
        <f t="shared" si="162"/>
        <v>0</v>
      </c>
      <c r="Y217" s="670">
        <f t="shared" si="159"/>
        <v>4850</v>
      </c>
      <c r="Z217" s="668">
        <f t="shared" si="163"/>
        <v>4805</v>
      </c>
      <c r="AA217" s="669">
        <f t="shared" si="163"/>
        <v>45</v>
      </c>
      <c r="AB217" s="669">
        <f t="shared" si="163"/>
        <v>0</v>
      </c>
      <c r="AC217" s="670">
        <f t="shared" si="163"/>
        <v>0</v>
      </c>
    </row>
    <row r="218" spans="1:29" s="253" customFormat="1" ht="38.25" hidden="1" customHeight="1" x14ac:dyDescent="0.2">
      <c r="A218" s="56">
        <v>8008</v>
      </c>
      <c r="B218" s="739" t="s">
        <v>74</v>
      </c>
      <c r="C218" s="739">
        <v>10</v>
      </c>
      <c r="D218" s="113"/>
      <c r="E218" s="113"/>
      <c r="F218" s="735"/>
      <c r="G218" s="736" t="s">
        <v>277</v>
      </c>
      <c r="H218" s="737" t="s">
        <v>278</v>
      </c>
      <c r="I218" s="737"/>
      <c r="J218" s="670">
        <f t="shared" si="158"/>
        <v>4850</v>
      </c>
      <c r="K218" s="668">
        <f t="shared" si="160"/>
        <v>4805</v>
      </c>
      <c r="L218" s="669">
        <f t="shared" si="160"/>
        <v>45</v>
      </c>
      <c r="M218" s="669">
        <f t="shared" si="160"/>
        <v>0</v>
      </c>
      <c r="N218" s="670">
        <f t="shared" si="160"/>
        <v>0</v>
      </c>
      <c r="O218" s="738"/>
      <c r="P218" s="738"/>
      <c r="Q218" s="738"/>
      <c r="R218" s="738"/>
      <c r="S218" s="738"/>
      <c r="T218" s="350">
        <f t="shared" si="161"/>
        <v>0</v>
      </c>
      <c r="U218" s="507">
        <f t="shared" si="162"/>
        <v>0</v>
      </c>
      <c r="V218" s="349">
        <f t="shared" si="162"/>
        <v>0</v>
      </c>
      <c r="W218" s="349">
        <f t="shared" si="162"/>
        <v>0</v>
      </c>
      <c r="X218" s="350">
        <f t="shared" si="162"/>
        <v>0</v>
      </c>
      <c r="Y218" s="670">
        <f t="shared" si="159"/>
        <v>4850</v>
      </c>
      <c r="Z218" s="668">
        <f t="shared" si="163"/>
        <v>4805</v>
      </c>
      <c r="AA218" s="669">
        <f t="shared" si="163"/>
        <v>45</v>
      </c>
      <c r="AB218" s="669">
        <f t="shared" si="163"/>
        <v>0</v>
      </c>
      <c r="AC218" s="670">
        <f t="shared" si="163"/>
        <v>0</v>
      </c>
    </row>
    <row r="219" spans="1:29" s="253" customFormat="1" ht="15" hidden="1" customHeight="1" x14ac:dyDescent="0.2">
      <c r="A219" s="740"/>
      <c r="B219" s="735"/>
      <c r="C219" s="113"/>
      <c r="D219" s="113" t="s">
        <v>74</v>
      </c>
      <c r="E219" s="113"/>
      <c r="F219" s="735"/>
      <c r="G219" s="736" t="s">
        <v>75</v>
      </c>
      <c r="H219" s="737" t="s">
        <v>74</v>
      </c>
      <c r="I219" s="737"/>
      <c r="J219" s="670">
        <f t="shared" si="158"/>
        <v>4850</v>
      </c>
      <c r="K219" s="668">
        <f t="shared" si="160"/>
        <v>4805</v>
      </c>
      <c r="L219" s="669">
        <f t="shared" si="160"/>
        <v>45</v>
      </c>
      <c r="M219" s="669">
        <f t="shared" si="160"/>
        <v>0</v>
      </c>
      <c r="N219" s="670">
        <f t="shared" si="160"/>
        <v>0</v>
      </c>
      <c r="O219" s="738"/>
      <c r="P219" s="738"/>
      <c r="Q219" s="738"/>
      <c r="R219" s="738"/>
      <c r="S219" s="738"/>
      <c r="T219" s="350">
        <f t="shared" si="161"/>
        <v>0</v>
      </c>
      <c r="U219" s="507">
        <f t="shared" si="162"/>
        <v>0</v>
      </c>
      <c r="V219" s="349">
        <f t="shared" si="162"/>
        <v>0</v>
      </c>
      <c r="W219" s="349">
        <f t="shared" si="162"/>
        <v>0</v>
      </c>
      <c r="X219" s="350">
        <f t="shared" si="162"/>
        <v>0</v>
      </c>
      <c r="Y219" s="670">
        <f t="shared" si="159"/>
        <v>4850</v>
      </c>
      <c r="Z219" s="668">
        <f t="shared" si="163"/>
        <v>4805</v>
      </c>
      <c r="AA219" s="669">
        <f t="shared" si="163"/>
        <v>45</v>
      </c>
      <c r="AB219" s="669">
        <f t="shared" si="163"/>
        <v>0</v>
      </c>
      <c r="AC219" s="670">
        <f t="shared" si="163"/>
        <v>0</v>
      </c>
    </row>
    <row r="220" spans="1:29" s="253" customFormat="1" ht="15" hidden="1" customHeight="1" x14ac:dyDescent="0.2">
      <c r="A220" s="740"/>
      <c r="B220" s="735"/>
      <c r="C220" s="113"/>
      <c r="D220" s="113" t="s">
        <v>275</v>
      </c>
      <c r="E220" s="113"/>
      <c r="F220" s="735"/>
      <c r="G220" s="736" t="s">
        <v>276</v>
      </c>
      <c r="H220" s="737" t="s">
        <v>275</v>
      </c>
      <c r="I220" s="737"/>
      <c r="J220" s="670">
        <f t="shared" si="158"/>
        <v>4850</v>
      </c>
      <c r="K220" s="668">
        <f t="shared" si="160"/>
        <v>4805</v>
      </c>
      <c r="L220" s="669">
        <f t="shared" si="160"/>
        <v>45</v>
      </c>
      <c r="M220" s="669">
        <f t="shared" si="160"/>
        <v>0</v>
      </c>
      <c r="N220" s="670">
        <f t="shared" si="160"/>
        <v>0</v>
      </c>
      <c r="O220" s="738"/>
      <c r="P220" s="738"/>
      <c r="Q220" s="738"/>
      <c r="R220" s="738"/>
      <c r="S220" s="738"/>
      <c r="T220" s="350">
        <f t="shared" si="161"/>
        <v>0</v>
      </c>
      <c r="U220" s="507">
        <f t="shared" si="162"/>
        <v>0</v>
      </c>
      <c r="V220" s="349">
        <f t="shared" si="162"/>
        <v>0</v>
      </c>
      <c r="W220" s="349">
        <f t="shared" si="162"/>
        <v>0</v>
      </c>
      <c r="X220" s="350">
        <f t="shared" si="162"/>
        <v>0</v>
      </c>
      <c r="Y220" s="670">
        <f t="shared" si="159"/>
        <v>4850</v>
      </c>
      <c r="Z220" s="668">
        <f t="shared" si="163"/>
        <v>4805</v>
      </c>
      <c r="AA220" s="669">
        <f t="shared" si="163"/>
        <v>45</v>
      </c>
      <c r="AB220" s="669">
        <f t="shared" si="163"/>
        <v>0</v>
      </c>
      <c r="AC220" s="670">
        <f t="shared" si="163"/>
        <v>0</v>
      </c>
    </row>
    <row r="221" spans="1:29" s="253" customFormat="1" ht="15.75" hidden="1" customHeight="1" x14ac:dyDescent="0.2">
      <c r="A221" s="740"/>
      <c r="B221" s="735"/>
      <c r="C221" s="113"/>
      <c r="D221" s="113"/>
      <c r="E221" s="113" t="s">
        <v>230</v>
      </c>
      <c r="F221" s="735"/>
      <c r="G221" s="736" t="s">
        <v>279</v>
      </c>
      <c r="H221" s="737" t="s">
        <v>230</v>
      </c>
      <c r="I221" s="737"/>
      <c r="J221" s="670">
        <f t="shared" si="158"/>
        <v>4850</v>
      </c>
      <c r="K221" s="668">
        <f>K222+K223</f>
        <v>4805</v>
      </c>
      <c r="L221" s="669">
        <f>L222+L223</f>
        <v>45</v>
      </c>
      <c r="M221" s="669">
        <f>M222+M223</f>
        <v>0</v>
      </c>
      <c r="N221" s="670">
        <f>N222+N223</f>
        <v>0</v>
      </c>
      <c r="O221" s="738"/>
      <c r="P221" s="738"/>
      <c r="Q221" s="738"/>
      <c r="R221" s="738"/>
      <c r="S221" s="738"/>
      <c r="T221" s="350">
        <f t="shared" si="161"/>
        <v>0</v>
      </c>
      <c r="U221" s="507">
        <f>U222+U223</f>
        <v>0</v>
      </c>
      <c r="V221" s="349">
        <f>V222+V223</f>
        <v>0</v>
      </c>
      <c r="W221" s="349">
        <f>W222+W223</f>
        <v>0</v>
      </c>
      <c r="X221" s="350">
        <f>X222+X223</f>
        <v>0</v>
      </c>
      <c r="Y221" s="670">
        <f t="shared" si="159"/>
        <v>4850</v>
      </c>
      <c r="Z221" s="668">
        <f>Z222+Z223</f>
        <v>4805</v>
      </c>
      <c r="AA221" s="669">
        <f>AA222+AA223</f>
        <v>45</v>
      </c>
      <c r="AB221" s="669">
        <f>AB222+AB223</f>
        <v>0</v>
      </c>
      <c r="AC221" s="670">
        <f>AC222+AC223</f>
        <v>0</v>
      </c>
    </row>
    <row r="222" spans="1:29" ht="10" hidden="1" customHeight="1" x14ac:dyDescent="0.2">
      <c r="A222" s="740"/>
      <c r="B222" s="735"/>
      <c r="C222" s="113"/>
      <c r="D222" s="113"/>
      <c r="E222" s="113"/>
      <c r="F222" s="735" t="s">
        <v>74</v>
      </c>
      <c r="G222" s="741" t="s">
        <v>280</v>
      </c>
      <c r="H222" s="138" t="s">
        <v>74</v>
      </c>
      <c r="I222" s="138"/>
      <c r="J222" s="294">
        <f t="shared" ref="J222:N223" si="164">T222+Y222</f>
        <v>728</v>
      </c>
      <c r="K222" s="292">
        <f t="shared" si="164"/>
        <v>721</v>
      </c>
      <c r="L222" s="293">
        <f t="shared" si="164"/>
        <v>7</v>
      </c>
      <c r="M222" s="293">
        <f t="shared" si="164"/>
        <v>0</v>
      </c>
      <c r="N222" s="294">
        <f t="shared" si="164"/>
        <v>0</v>
      </c>
      <c r="O222" s="721"/>
      <c r="P222" s="721"/>
      <c r="Q222" s="721"/>
      <c r="R222" s="721"/>
      <c r="S222" s="721"/>
      <c r="T222" s="294">
        <f t="shared" si="161"/>
        <v>0</v>
      </c>
      <c r="U222" s="292">
        <v>0</v>
      </c>
      <c r="V222" s="293">
        <v>0</v>
      </c>
      <c r="W222" s="293">
        <v>0</v>
      </c>
      <c r="X222" s="294">
        <v>0</v>
      </c>
      <c r="Y222" s="294">
        <f t="shared" si="159"/>
        <v>728</v>
      </c>
      <c r="Z222" s="292">
        <f>721</f>
        <v>721</v>
      </c>
      <c r="AA222" s="293">
        <v>7</v>
      </c>
      <c r="AB222" s="293"/>
      <c r="AC222" s="294"/>
    </row>
    <row r="223" spans="1:29" s="747" customFormat="1" ht="14.25" hidden="1" customHeight="1" x14ac:dyDescent="0.15">
      <c r="A223" s="742"/>
      <c r="B223" s="743"/>
      <c r="C223" s="744"/>
      <c r="D223" s="743"/>
      <c r="E223" s="743"/>
      <c r="F223" s="743" t="s">
        <v>131</v>
      </c>
      <c r="G223" s="745" t="s">
        <v>281</v>
      </c>
      <c r="H223" s="746" t="s">
        <v>131</v>
      </c>
      <c r="I223" s="746"/>
      <c r="J223" s="388">
        <f t="shared" si="164"/>
        <v>4122</v>
      </c>
      <c r="K223" s="386">
        <f t="shared" si="164"/>
        <v>4084</v>
      </c>
      <c r="L223" s="387">
        <f t="shared" si="164"/>
        <v>38</v>
      </c>
      <c r="M223" s="387">
        <f t="shared" si="164"/>
        <v>0</v>
      </c>
      <c r="N223" s="388">
        <f t="shared" si="164"/>
        <v>0</v>
      </c>
      <c r="O223" s="727"/>
      <c r="P223" s="727"/>
      <c r="Q223" s="727"/>
      <c r="R223" s="727"/>
      <c r="S223" s="727"/>
      <c r="T223" s="388">
        <f t="shared" si="161"/>
        <v>0</v>
      </c>
      <c r="U223" s="386">
        <v>0</v>
      </c>
      <c r="V223" s="387">
        <v>0</v>
      </c>
      <c r="W223" s="387">
        <v>0</v>
      </c>
      <c r="X223" s="388">
        <v>0</v>
      </c>
      <c r="Y223" s="388">
        <f>Z223+AA223+AB223+AC223</f>
        <v>4122</v>
      </c>
      <c r="Z223" s="386">
        <f>4084</f>
        <v>4084</v>
      </c>
      <c r="AA223" s="387">
        <v>38</v>
      </c>
      <c r="AB223" s="387"/>
      <c r="AC223" s="388"/>
    </row>
    <row r="224" spans="1:29" s="747" customFormat="1" ht="14.25" hidden="1" customHeight="1" x14ac:dyDescent="0.2">
      <c r="A224" s="1"/>
      <c r="B224" s="1"/>
      <c r="C224" s="1"/>
      <c r="D224" s="1"/>
      <c r="E224" s="1"/>
      <c r="F224" s="1"/>
      <c r="G224" s="748"/>
      <c r="H224" s="748"/>
      <c r="I224" s="748"/>
      <c r="J224" s="748"/>
      <c r="K224" s="1"/>
      <c r="L224" s="1"/>
      <c r="M224" s="1"/>
      <c r="N224" s="1"/>
      <c r="O224" s="1"/>
      <c r="P224" s="1"/>
      <c r="Q224" s="1"/>
      <c r="R224" s="1"/>
      <c r="S224" s="1"/>
      <c r="T224" s="748"/>
      <c r="U224" s="1"/>
      <c r="V224" s="1"/>
      <c r="W224" s="1"/>
      <c r="X224" s="1"/>
      <c r="Y224" s="748"/>
      <c r="Z224" s="1"/>
      <c r="AA224" s="1"/>
      <c r="AB224" s="1"/>
      <c r="AC224" s="1"/>
    </row>
    <row r="225" spans="1:29" s="747" customFormat="1" ht="15" hidden="1" customHeight="1" x14ac:dyDescent="0.2">
      <c r="A225" s="1380" t="s">
        <v>282</v>
      </c>
      <c r="B225" s="1380"/>
      <c r="C225" s="1380"/>
      <c r="D225" s="1380"/>
      <c r="E225" s="1380"/>
      <c r="F225" s="1380"/>
      <c r="G225" s="1380"/>
      <c r="H225" s="1380" t="s">
        <v>283</v>
      </c>
      <c r="I225" s="1380"/>
      <c r="J225" s="1380"/>
      <c r="L225" s="749" t="s">
        <v>284</v>
      </c>
      <c r="M225" s="749"/>
      <c r="N225" s="749"/>
      <c r="P225" s="750" t="s">
        <v>285</v>
      </c>
      <c r="Q225" s="750"/>
    </row>
    <row r="226" spans="1:29" s="749" customFormat="1" ht="8.25" hidden="1" customHeight="1" x14ac:dyDescent="0.2">
      <c r="A226" s="1"/>
      <c r="B226" s="1"/>
      <c r="C226" s="1"/>
      <c r="D226" s="1"/>
      <c r="E226" s="1"/>
      <c r="F226" s="1"/>
      <c r="G226" s="1"/>
      <c r="H226" s="1"/>
      <c r="I226" s="1"/>
      <c r="J226" s="747"/>
      <c r="K226" s="747"/>
      <c r="L226" s="747"/>
      <c r="M226" s="747"/>
      <c r="N226" s="747"/>
      <c r="O226" s="747"/>
      <c r="P226" s="747"/>
      <c r="Q226" s="747"/>
      <c r="R226" s="747"/>
      <c r="S226" s="1"/>
      <c r="T226" s="1"/>
      <c r="U226" s="747"/>
      <c r="V226" s="1"/>
      <c r="W226" s="1"/>
      <c r="X226" s="747"/>
      <c r="Y226" s="1"/>
      <c r="Z226" s="747"/>
      <c r="AA226" s="747"/>
      <c r="AB226" s="747"/>
      <c r="AC226" s="747"/>
    </row>
    <row r="227" spans="1:29" s="749" customFormat="1" ht="33" hidden="1" customHeight="1" x14ac:dyDescent="0.2">
      <c r="A227" s="1380" t="s">
        <v>286</v>
      </c>
      <c r="B227" s="1380"/>
      <c r="C227" s="1380"/>
      <c r="D227" s="1380"/>
      <c r="E227" s="1380"/>
      <c r="F227" s="1380"/>
      <c r="G227" s="1380"/>
      <c r="H227" s="1381" t="s">
        <v>287</v>
      </c>
      <c r="I227" s="1381"/>
      <c r="J227" s="1381"/>
      <c r="K227" s="747"/>
      <c r="L227" s="751" t="s">
        <v>288</v>
      </c>
      <c r="M227" s="751"/>
      <c r="N227" s="751"/>
      <c r="O227" s="747"/>
      <c r="P227" s="750" t="s">
        <v>289</v>
      </c>
      <c r="Q227" s="750"/>
      <c r="R227" s="747"/>
      <c r="S227" s="747"/>
      <c r="T227" s="750"/>
      <c r="U227" s="747"/>
      <c r="V227" s="752"/>
      <c r="W227" s="752"/>
      <c r="X227" s="753"/>
      <c r="Y227" s="754"/>
      <c r="Z227" s="753"/>
      <c r="AA227" s="753"/>
      <c r="AB227" s="753"/>
      <c r="AC227" s="755"/>
    </row>
    <row r="228" spans="1:29" s="747" customFormat="1" ht="12.75" hidden="1"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s="749" customFormat="1" ht="14.25" hidden="1"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AA229" s="1"/>
      <c r="AB229" s="1"/>
      <c r="AC229" s="1"/>
    </row>
    <row r="230" spans="1:29" ht="15" hidden="1" customHeight="1" x14ac:dyDescent="0.2">
      <c r="A230" s="1377" t="s">
        <v>290</v>
      </c>
      <c r="B230" s="1377"/>
      <c r="C230" s="1377"/>
      <c r="D230" s="1377"/>
      <c r="E230" s="1377"/>
      <c r="F230" s="1377"/>
      <c r="G230" s="1377"/>
      <c r="H230" s="1377"/>
      <c r="I230" s="1377"/>
      <c r="J230" s="1377"/>
      <c r="K230" s="1377"/>
      <c r="L230" s="1377"/>
      <c r="M230" s="1377"/>
      <c r="N230" s="1377"/>
      <c r="O230" s="1377"/>
      <c r="P230" s="1377"/>
      <c r="Q230" s="1377"/>
      <c r="R230" s="1377"/>
      <c r="S230" s="1377"/>
      <c r="T230" s="1377"/>
      <c r="U230" s="1377"/>
      <c r="V230" s="1377"/>
      <c r="W230" s="1377"/>
      <c r="X230" s="1377"/>
      <c r="Y230" s="1377"/>
      <c r="Z230" s="1377"/>
      <c r="AA230" s="1377"/>
      <c r="AB230" s="1377"/>
      <c r="AC230" s="1377"/>
    </row>
    <row r="231" spans="1:29" ht="19.5" hidden="1" customHeight="1" x14ac:dyDescent="0.2">
      <c r="A231" s="1377" t="s">
        <v>291</v>
      </c>
      <c r="B231" s="1377"/>
      <c r="C231" s="1377"/>
      <c r="D231" s="1377"/>
      <c r="E231" s="1377"/>
      <c r="F231" s="1377"/>
      <c r="G231" s="1377"/>
      <c r="H231" s="1377"/>
      <c r="I231" s="1377"/>
      <c r="J231" s="1377"/>
      <c r="K231" s="1377"/>
      <c r="L231" s="1377"/>
      <c r="M231" s="1377"/>
      <c r="N231" s="1377"/>
      <c r="O231" s="1377"/>
      <c r="P231" s="1377"/>
      <c r="Q231" s="1377"/>
      <c r="R231" s="1377"/>
      <c r="S231" s="1377"/>
      <c r="T231" s="1377"/>
      <c r="U231" s="1377"/>
      <c r="V231" s="1377"/>
      <c r="W231" s="1377"/>
      <c r="X231" s="1377"/>
      <c r="Y231" s="1377"/>
      <c r="Z231" s="1377"/>
      <c r="AA231" s="1377"/>
      <c r="AB231" s="1377"/>
      <c r="AC231" s="1377"/>
    </row>
    <row r="232" spans="1:29" ht="15" hidden="1" customHeight="1" x14ac:dyDescent="0.2">
      <c r="A232" s="1378" t="s">
        <v>292</v>
      </c>
      <c r="B232" s="1378"/>
      <c r="C232" s="1378"/>
      <c r="D232" s="1378"/>
      <c r="E232" s="1378"/>
      <c r="F232" s="1378"/>
      <c r="G232" s="1378"/>
      <c r="H232" s="1378"/>
      <c r="I232" s="1378"/>
      <c r="J232" s="1378"/>
      <c r="K232" s="1378"/>
      <c r="L232" s="1378"/>
      <c r="M232" s="1378"/>
      <c r="N232" s="1378"/>
      <c r="O232" s="1378"/>
      <c r="P232" s="1378"/>
      <c r="Q232" s="1378"/>
      <c r="R232" s="1378"/>
      <c r="S232" s="1378"/>
      <c r="T232" s="1378"/>
      <c r="U232" s="1378"/>
      <c r="V232" s="1378"/>
      <c r="W232" s="1378"/>
      <c r="X232" s="1378"/>
      <c r="Y232" s="1378"/>
      <c r="Z232" s="1378"/>
      <c r="AA232" s="1378"/>
      <c r="AB232" s="1378"/>
      <c r="AC232" s="1378"/>
    </row>
    <row r="233" spans="1:29" ht="10" hidden="1" customHeight="1" x14ac:dyDescent="0.2">
      <c r="K233" s="756"/>
      <c r="L233" s="756"/>
      <c r="M233" s="756"/>
      <c r="N233" s="756"/>
      <c r="O233" s="756"/>
      <c r="P233" s="756"/>
      <c r="Q233" s="756"/>
      <c r="R233" s="756"/>
      <c r="S233" s="756"/>
      <c r="T233" s="756"/>
      <c r="U233" s="757"/>
    </row>
    <row r="234" spans="1:29" ht="15" hidden="1" customHeight="1" x14ac:dyDescent="0.2">
      <c r="G234" s="758"/>
      <c r="I234" s="759"/>
      <c r="K234" s="760" t="s">
        <v>293</v>
      </c>
      <c r="O234" s="1379" t="s">
        <v>294</v>
      </c>
      <c r="P234" s="1379"/>
      <c r="T234" s="749"/>
      <c r="U234" s="757"/>
    </row>
    <row r="235" spans="1:29" hidden="1" x14ac:dyDescent="0.2">
      <c r="G235" s="761"/>
      <c r="I235" s="758"/>
      <c r="K235" s="762"/>
      <c r="O235" s="763"/>
      <c r="P235" s="762"/>
    </row>
    <row r="236" spans="1:29" ht="15" hidden="1" customHeight="1" x14ac:dyDescent="0.2">
      <c r="G236" s="762"/>
      <c r="I236" s="752"/>
      <c r="K236" s="764" t="s">
        <v>295</v>
      </c>
      <c r="O236" s="1379" t="s">
        <v>296</v>
      </c>
      <c r="P236" s="1379"/>
    </row>
    <row r="237" spans="1:29" ht="38.25" hidden="1" customHeight="1" x14ac:dyDescent="0.2"/>
    <row r="238" spans="1:29" ht="30.75" hidden="1" customHeight="1" x14ac:dyDescent="0.2"/>
    <row r="239" spans="1:29" ht="25.5" customHeight="1" x14ac:dyDescent="0.2">
      <c r="A239" s="1234" t="s">
        <v>297</v>
      </c>
      <c r="B239" s="1234"/>
      <c r="C239" s="1234"/>
      <c r="D239" s="1234"/>
      <c r="E239" s="1234"/>
      <c r="F239" s="1234"/>
      <c r="G239" s="1234"/>
      <c r="H239" s="1234"/>
      <c r="I239" s="1234"/>
      <c r="J239" s="1234"/>
      <c r="K239" s="1234"/>
      <c r="L239" s="1234"/>
      <c r="M239" s="1234"/>
      <c r="N239" s="1234"/>
      <c r="O239" s="1234"/>
      <c r="P239" s="1234"/>
      <c r="Q239" s="1234"/>
      <c r="R239" s="1234"/>
      <c r="S239" s="1234"/>
      <c r="T239" s="1234"/>
      <c r="U239" s="1234"/>
      <c r="V239" s="1234"/>
      <c r="W239" s="1234"/>
      <c r="X239" s="1234"/>
      <c r="Y239" s="1234"/>
      <c r="Z239" s="1234"/>
      <c r="AA239" s="1234"/>
      <c r="AB239" s="1234"/>
      <c r="AC239" s="1234"/>
    </row>
    <row r="240" spans="1:29" ht="25" customHeight="1" x14ac:dyDescent="0.2">
      <c r="A240" s="1234" t="s">
        <v>298</v>
      </c>
      <c r="B240" s="1234"/>
      <c r="C240" s="1234"/>
      <c r="D240" s="1234"/>
      <c r="E240" s="1234"/>
      <c r="F240" s="1234"/>
      <c r="G240" s="1234"/>
      <c r="H240" s="1234"/>
      <c r="I240" s="1234"/>
      <c r="J240" s="1234"/>
      <c r="K240" s="1234"/>
      <c r="L240" s="1234"/>
      <c r="M240" s="1234"/>
      <c r="N240" s="1234"/>
      <c r="O240" s="1234"/>
      <c r="P240" s="1234"/>
      <c r="Q240" s="1234"/>
      <c r="R240" s="1234"/>
      <c r="S240" s="1234"/>
      <c r="T240" s="1234"/>
      <c r="U240" s="1234"/>
      <c r="V240" s="1234"/>
      <c r="W240" s="1234"/>
      <c r="X240" s="1234"/>
      <c r="Y240" s="1234"/>
      <c r="Z240" s="1234"/>
      <c r="AA240" s="1234"/>
      <c r="AB240" s="1234"/>
      <c r="AC240" s="1234"/>
    </row>
    <row r="241" spans="1:29" ht="25" customHeight="1" thickBot="1" x14ac:dyDescent="0.25">
      <c r="A241" s="7"/>
      <c r="B241" s="7"/>
      <c r="C241" s="7"/>
      <c r="D241" s="7"/>
      <c r="E241" s="7"/>
      <c r="F241" s="7"/>
      <c r="G241" s="7"/>
      <c r="H241" s="7"/>
      <c r="I241" s="7"/>
      <c r="J241" s="1235" t="s">
        <v>9</v>
      </c>
      <c r="K241" s="1235"/>
      <c r="L241" s="1235"/>
      <c r="M241" s="1235"/>
      <c r="N241" s="1235"/>
      <c r="O241" s="1236" t="s">
        <v>10</v>
      </c>
      <c r="P241" s="1236"/>
      <c r="Q241" s="1236"/>
      <c r="R241" s="1236"/>
      <c r="S241" s="1236"/>
      <c r="T241" s="1237" t="s">
        <v>11</v>
      </c>
      <c r="U241" s="1237"/>
      <c r="V241" s="1237"/>
      <c r="W241" s="1237"/>
      <c r="X241" s="1237"/>
      <c r="Y241" s="1240" t="s">
        <v>12</v>
      </c>
      <c r="Z241" s="1240"/>
      <c r="AA241" s="1240"/>
      <c r="AB241" s="1240"/>
      <c r="AC241" s="1240"/>
    </row>
    <row r="242" spans="1:29" ht="20.25" customHeight="1" x14ac:dyDescent="0.2">
      <c r="A242" s="1265" t="s">
        <v>14</v>
      </c>
      <c r="B242" s="1267" t="s">
        <v>15</v>
      </c>
      <c r="C242" s="1267" t="s">
        <v>16</v>
      </c>
      <c r="D242" s="1267" t="s">
        <v>17</v>
      </c>
      <c r="E242" s="1267" t="s">
        <v>18</v>
      </c>
      <c r="F242" s="1267" t="s">
        <v>19</v>
      </c>
      <c r="G242" s="1253" t="s">
        <v>20</v>
      </c>
      <c r="H242" s="1255" t="s">
        <v>21</v>
      </c>
      <c r="I242" s="1257" t="s">
        <v>22</v>
      </c>
      <c r="J242" s="1259" t="s">
        <v>23</v>
      </c>
      <c r="K242" s="1261" t="s">
        <v>24</v>
      </c>
      <c r="L242" s="1262"/>
      <c r="M242" s="1262"/>
      <c r="N242" s="9" t="s">
        <v>299</v>
      </c>
      <c r="O242" s="1263" t="s">
        <v>23</v>
      </c>
      <c r="P242" s="1243" t="s">
        <v>26</v>
      </c>
      <c r="Q242" s="1244"/>
      <c r="R242" s="1244"/>
      <c r="S242" s="10" t="s">
        <v>299</v>
      </c>
      <c r="T242" s="1245" t="s">
        <v>23</v>
      </c>
      <c r="U242" s="1247" t="s">
        <v>26</v>
      </c>
      <c r="V242" s="1248"/>
      <c r="W242" s="1248"/>
      <c r="X242" s="11" t="s">
        <v>299</v>
      </c>
      <c r="Y242" s="1249" t="s">
        <v>23</v>
      </c>
      <c r="Z242" s="1251" t="s">
        <v>26</v>
      </c>
      <c r="AA242" s="1252"/>
      <c r="AB242" s="1252"/>
      <c r="AC242" s="12" t="s">
        <v>299</v>
      </c>
    </row>
    <row r="243" spans="1:29" ht="19.5" customHeight="1" thickBot="1" x14ac:dyDescent="0.25">
      <c r="A243" s="1266"/>
      <c r="B243" s="1268"/>
      <c r="C243" s="1268"/>
      <c r="D243" s="1268"/>
      <c r="E243" s="1268"/>
      <c r="F243" s="1268"/>
      <c r="G243" s="1254"/>
      <c r="H243" s="1256"/>
      <c r="I243" s="1258"/>
      <c r="J243" s="1260"/>
      <c r="K243" s="13" t="s">
        <v>27</v>
      </c>
      <c r="L243" s="14" t="s">
        <v>28</v>
      </c>
      <c r="M243" s="14" t="s">
        <v>29</v>
      </c>
      <c r="N243" s="15" t="s">
        <v>30</v>
      </c>
      <c r="O243" s="1264"/>
      <c r="P243" s="16" t="s">
        <v>27</v>
      </c>
      <c r="Q243" s="17" t="s">
        <v>28</v>
      </c>
      <c r="R243" s="17" t="s">
        <v>29</v>
      </c>
      <c r="S243" s="18" t="s">
        <v>30</v>
      </c>
      <c r="T243" s="1246"/>
      <c r="U243" s="19" t="s">
        <v>27</v>
      </c>
      <c r="V243" s="20" t="s">
        <v>28</v>
      </c>
      <c r="W243" s="20" t="s">
        <v>29</v>
      </c>
      <c r="X243" s="21" t="s">
        <v>30</v>
      </c>
      <c r="Y243" s="1250"/>
      <c r="Z243" s="22" t="s">
        <v>27</v>
      </c>
      <c r="AA243" s="23" t="s">
        <v>28</v>
      </c>
      <c r="AB243" s="23" t="s">
        <v>29</v>
      </c>
      <c r="AC243" s="24" t="s">
        <v>30</v>
      </c>
    </row>
    <row r="244" spans="1:29" ht="18" thickBot="1" x14ac:dyDescent="0.25">
      <c r="A244" s="25" t="s">
        <v>32</v>
      </c>
      <c r="B244" s="26" t="s">
        <v>33</v>
      </c>
      <c r="C244" s="27"/>
      <c r="D244" s="27"/>
      <c r="E244" s="27"/>
      <c r="F244" s="27"/>
      <c r="G244" s="28" t="s">
        <v>34</v>
      </c>
      <c r="H244" s="29" t="s">
        <v>35</v>
      </c>
      <c r="I244" s="30"/>
      <c r="J244" s="31">
        <f>K244+L244+M244+N244</f>
        <v>693898000</v>
      </c>
      <c r="K244" s="32">
        <f>K245+K252</f>
        <v>176401000</v>
      </c>
      <c r="L244" s="33">
        <f>L245+L252</f>
        <v>173589000</v>
      </c>
      <c r="M244" s="33">
        <f>M245+M252</f>
        <v>177661000</v>
      </c>
      <c r="N244" s="34">
        <f>N245+N252</f>
        <v>166247000</v>
      </c>
      <c r="O244" s="35">
        <f>P244+Q244+R244+S244</f>
        <v>61800000</v>
      </c>
      <c r="P244" s="32">
        <f>P252</f>
        <v>18303000</v>
      </c>
      <c r="Q244" s="33">
        <f>Q252</f>
        <v>15589000</v>
      </c>
      <c r="R244" s="33">
        <f>R252</f>
        <v>19661000</v>
      </c>
      <c r="S244" s="36">
        <f>S252</f>
        <v>8247000</v>
      </c>
      <c r="T244" s="31">
        <f>U244+V244+W244+X244</f>
        <v>276000000</v>
      </c>
      <c r="U244" s="32">
        <f>U245+U252</f>
        <v>69000000</v>
      </c>
      <c r="V244" s="32">
        <f>V245+V252</f>
        <v>69000000</v>
      </c>
      <c r="W244" s="32">
        <f>W245+W252</f>
        <v>69000000</v>
      </c>
      <c r="X244" s="32">
        <f>X245+X252</f>
        <v>69000000</v>
      </c>
      <c r="Y244" s="35">
        <f>Z244+AA244+AB244+AC244</f>
        <v>356098000</v>
      </c>
      <c r="Z244" s="32">
        <f>Z245+Z252</f>
        <v>89098000</v>
      </c>
      <c r="AA244" s="32">
        <f>AA245+AA252</f>
        <v>89000000</v>
      </c>
      <c r="AB244" s="32">
        <f>AB245+AB252</f>
        <v>89000000</v>
      </c>
      <c r="AC244" s="34">
        <f>AC245+AC252</f>
        <v>89000000</v>
      </c>
    </row>
    <row r="245" spans="1:29" ht="16" x14ac:dyDescent="0.2">
      <c r="A245" s="37" t="s">
        <v>36</v>
      </c>
      <c r="B245" s="38" t="s">
        <v>33</v>
      </c>
      <c r="C245" s="39"/>
      <c r="D245" s="39"/>
      <c r="E245" s="39"/>
      <c r="F245" s="39"/>
      <c r="G245" s="40" t="s">
        <v>37</v>
      </c>
      <c r="H245" s="41" t="s">
        <v>38</v>
      </c>
      <c r="I245" s="42"/>
      <c r="J245" s="43">
        <f t="shared" ref="J245:J251" si="165">K245+L245+M245+N245</f>
        <v>632000000</v>
      </c>
      <c r="K245" s="44">
        <f>K246</f>
        <v>158000000</v>
      </c>
      <c r="L245" s="45">
        <f t="shared" ref="L245:N246" si="166">L246</f>
        <v>158000000</v>
      </c>
      <c r="M245" s="45">
        <f t="shared" si="166"/>
        <v>158000000</v>
      </c>
      <c r="N245" s="46">
        <f t="shared" si="166"/>
        <v>158000000</v>
      </c>
      <c r="O245" s="47"/>
      <c r="P245" s="48"/>
      <c r="Q245" s="49"/>
      <c r="R245" s="49"/>
      <c r="S245" s="50"/>
      <c r="T245" s="51">
        <f t="shared" ref="T245:T281" si="167">U245+V245+W245+X245</f>
        <v>276000000</v>
      </c>
      <c r="U245" s="52">
        <f>U246</f>
        <v>69000000</v>
      </c>
      <c r="V245" s="53">
        <f t="shared" ref="V245:X246" si="168">V246</f>
        <v>69000000</v>
      </c>
      <c r="W245" s="53">
        <f t="shared" si="168"/>
        <v>69000000</v>
      </c>
      <c r="X245" s="54">
        <f t="shared" si="168"/>
        <v>69000000</v>
      </c>
      <c r="Y245" s="55">
        <f t="shared" ref="Y245:Y281" si="169">Z245+AA245+AB245+AC245</f>
        <v>356000000</v>
      </c>
      <c r="Z245" s="52">
        <f>Z246</f>
        <v>89000000</v>
      </c>
      <c r="AA245" s="53">
        <f t="shared" ref="AA245:AC246" si="170">AA246</f>
        <v>89000000</v>
      </c>
      <c r="AB245" s="53">
        <f t="shared" si="170"/>
        <v>89000000</v>
      </c>
      <c r="AC245" s="54">
        <f t="shared" si="170"/>
        <v>89000000</v>
      </c>
    </row>
    <row r="246" spans="1:29" ht="16" x14ac:dyDescent="0.2">
      <c r="A246" s="56" t="s">
        <v>39</v>
      </c>
      <c r="B246" s="57" t="s">
        <v>33</v>
      </c>
      <c r="C246" s="58"/>
      <c r="D246" s="58"/>
      <c r="E246" s="58"/>
      <c r="F246" s="58"/>
      <c r="G246" s="59" t="s">
        <v>40</v>
      </c>
      <c r="H246" s="60" t="s">
        <v>41</v>
      </c>
      <c r="I246" s="61"/>
      <c r="J246" s="51">
        <f t="shared" si="165"/>
        <v>632000000</v>
      </c>
      <c r="K246" s="62">
        <f>K247</f>
        <v>158000000</v>
      </c>
      <c r="L246" s="53">
        <f t="shared" si="166"/>
        <v>158000000</v>
      </c>
      <c r="M246" s="53">
        <f t="shared" si="166"/>
        <v>158000000</v>
      </c>
      <c r="N246" s="54">
        <f t="shared" si="166"/>
        <v>158000000</v>
      </c>
      <c r="O246" s="63"/>
      <c r="P246" s="64"/>
      <c r="Q246" s="65"/>
      <c r="R246" s="65"/>
      <c r="S246" s="66"/>
      <c r="T246" s="51">
        <f t="shared" si="167"/>
        <v>276000000</v>
      </c>
      <c r="U246" s="52">
        <f>U247</f>
        <v>69000000</v>
      </c>
      <c r="V246" s="53">
        <f t="shared" si="168"/>
        <v>69000000</v>
      </c>
      <c r="W246" s="53">
        <f t="shared" si="168"/>
        <v>69000000</v>
      </c>
      <c r="X246" s="54">
        <f t="shared" si="168"/>
        <v>69000000</v>
      </c>
      <c r="Y246" s="55">
        <f t="shared" si="169"/>
        <v>356000000</v>
      </c>
      <c r="Z246" s="52">
        <f>Z247</f>
        <v>89000000</v>
      </c>
      <c r="AA246" s="53">
        <f t="shared" si="170"/>
        <v>89000000</v>
      </c>
      <c r="AB246" s="53">
        <f t="shared" si="170"/>
        <v>89000000</v>
      </c>
      <c r="AC246" s="54">
        <f t="shared" si="170"/>
        <v>89000000</v>
      </c>
    </row>
    <row r="247" spans="1:29" ht="16" x14ac:dyDescent="0.2">
      <c r="A247" s="56" t="s">
        <v>42</v>
      </c>
      <c r="B247" s="67" t="s">
        <v>33</v>
      </c>
      <c r="C247" s="58"/>
      <c r="D247" s="58"/>
      <c r="E247" s="58"/>
      <c r="F247" s="58"/>
      <c r="G247" s="59" t="s">
        <v>43</v>
      </c>
      <c r="H247" s="60" t="s">
        <v>42</v>
      </c>
      <c r="I247" s="61"/>
      <c r="J247" s="51">
        <f t="shared" si="165"/>
        <v>632000000</v>
      </c>
      <c r="K247" s="62">
        <f>K248+K250</f>
        <v>158000000</v>
      </c>
      <c r="L247" s="53">
        <f>L248+L250</f>
        <v>158000000</v>
      </c>
      <c r="M247" s="53">
        <f>M248+M250</f>
        <v>158000000</v>
      </c>
      <c r="N247" s="54">
        <f>N248+N250</f>
        <v>158000000</v>
      </c>
      <c r="O247" s="63"/>
      <c r="P247" s="64"/>
      <c r="Q247" s="65"/>
      <c r="R247" s="65"/>
      <c r="S247" s="66"/>
      <c r="T247" s="51">
        <f t="shared" si="167"/>
        <v>276000000</v>
      </c>
      <c r="U247" s="52">
        <f>U248+U250</f>
        <v>69000000</v>
      </c>
      <c r="V247" s="53">
        <f>V248+V250</f>
        <v>69000000</v>
      </c>
      <c r="W247" s="53">
        <f>W248+W250</f>
        <v>69000000</v>
      </c>
      <c r="X247" s="54">
        <f>X248+X250</f>
        <v>69000000</v>
      </c>
      <c r="Y247" s="55">
        <f t="shared" si="169"/>
        <v>356000000</v>
      </c>
      <c r="Z247" s="52">
        <f>Z248+Z250</f>
        <v>89000000</v>
      </c>
      <c r="AA247" s="53">
        <f>AA248+AA250</f>
        <v>89000000</v>
      </c>
      <c r="AB247" s="53">
        <f>AB248+AB250</f>
        <v>89000000</v>
      </c>
      <c r="AC247" s="54">
        <f>AC248+AC250</f>
        <v>89000000</v>
      </c>
    </row>
    <row r="248" spans="1:29" ht="16" x14ac:dyDescent="0.2">
      <c r="A248" s="68" t="s">
        <v>44</v>
      </c>
      <c r="B248" s="69"/>
      <c r="C248" s="70"/>
      <c r="D248" s="69"/>
      <c r="E248" s="58"/>
      <c r="F248" s="58"/>
      <c r="G248" s="59" t="s">
        <v>45</v>
      </c>
      <c r="H248" s="60" t="s">
        <v>44</v>
      </c>
      <c r="I248" s="61"/>
      <c r="J248" s="51">
        <f t="shared" si="165"/>
        <v>625000000</v>
      </c>
      <c r="K248" s="62">
        <f>K249</f>
        <v>156250000</v>
      </c>
      <c r="L248" s="53">
        <f>L249</f>
        <v>156250000</v>
      </c>
      <c r="M248" s="53">
        <f>M249</f>
        <v>156250000</v>
      </c>
      <c r="N248" s="54">
        <f>N249</f>
        <v>156250000</v>
      </c>
      <c r="O248" s="63"/>
      <c r="P248" s="64"/>
      <c r="Q248" s="65"/>
      <c r="R248" s="65"/>
      <c r="S248" s="66"/>
      <c r="T248" s="51">
        <f t="shared" si="167"/>
        <v>272500000</v>
      </c>
      <c r="U248" s="52">
        <f>U249</f>
        <v>68125000</v>
      </c>
      <c r="V248" s="53">
        <f>V249</f>
        <v>68125000</v>
      </c>
      <c r="W248" s="53">
        <f>W249</f>
        <v>68125000</v>
      </c>
      <c r="X248" s="54">
        <f>X249</f>
        <v>68125000</v>
      </c>
      <c r="Y248" s="55">
        <f t="shared" si="169"/>
        <v>352500000</v>
      </c>
      <c r="Z248" s="52">
        <f>Z249</f>
        <v>88125000</v>
      </c>
      <c r="AA248" s="53">
        <f>AA249</f>
        <v>88125000</v>
      </c>
      <c r="AB248" s="53">
        <f>AB249</f>
        <v>88125000</v>
      </c>
      <c r="AC248" s="54">
        <f>AC249</f>
        <v>88125000</v>
      </c>
    </row>
    <row r="249" spans="1:29" ht="16" x14ac:dyDescent="0.2">
      <c r="A249" s="71"/>
      <c r="B249" s="67" t="s">
        <v>46</v>
      </c>
      <c r="C249" s="69"/>
      <c r="D249" s="67"/>
      <c r="E249" s="58"/>
      <c r="F249" s="58"/>
      <c r="G249" s="72" t="s">
        <v>47</v>
      </c>
      <c r="H249" s="73" t="s">
        <v>48</v>
      </c>
      <c r="I249" s="74"/>
      <c r="J249" s="75">
        <f t="shared" si="165"/>
        <v>625000000</v>
      </c>
      <c r="K249" s="76">
        <f>P249+U249+Z249</f>
        <v>156250000</v>
      </c>
      <c r="L249" s="77">
        <f>Q249+V249+AA249</f>
        <v>156250000</v>
      </c>
      <c r="M249" s="77">
        <f>R249+W249+AB249</f>
        <v>156250000</v>
      </c>
      <c r="N249" s="78">
        <f>S249+X249+AC249</f>
        <v>156250000</v>
      </c>
      <c r="O249" s="79"/>
      <c r="P249" s="80"/>
      <c r="Q249" s="81"/>
      <c r="R249" s="81"/>
      <c r="S249" s="82"/>
      <c r="T249" s="75">
        <f t="shared" si="167"/>
        <v>272500000</v>
      </c>
      <c r="U249" s="83">
        <f>U18*1000</f>
        <v>68125000</v>
      </c>
      <c r="V249" s="84">
        <f>V18*1000</f>
        <v>68125000</v>
      </c>
      <c r="W249" s="84">
        <f>W18*1000</f>
        <v>68125000</v>
      </c>
      <c r="X249" s="85">
        <f>X18*1000</f>
        <v>68125000</v>
      </c>
      <c r="Y249" s="86">
        <f t="shared" si="169"/>
        <v>352500000</v>
      </c>
      <c r="Z249" s="83">
        <f>Z18*1000</f>
        <v>88125000</v>
      </c>
      <c r="AA249" s="84">
        <f>AA18*1000</f>
        <v>88125000</v>
      </c>
      <c r="AB249" s="84">
        <f>AB18*1000</f>
        <v>88125000</v>
      </c>
      <c r="AC249" s="85">
        <f>AC18*1000</f>
        <v>88125000</v>
      </c>
    </row>
    <row r="250" spans="1:29" ht="16" x14ac:dyDescent="0.2">
      <c r="A250" s="68" t="s">
        <v>49</v>
      </c>
      <c r="B250" s="70"/>
      <c r="C250" s="70"/>
      <c r="D250" s="57"/>
      <c r="E250" s="58"/>
      <c r="F250" s="58"/>
      <c r="G250" s="59" t="s">
        <v>50</v>
      </c>
      <c r="H250" s="60" t="s">
        <v>51</v>
      </c>
      <c r="I250" s="61"/>
      <c r="J250" s="51">
        <f t="shared" si="165"/>
        <v>7000000</v>
      </c>
      <c r="K250" s="62">
        <f>K251</f>
        <v>1750000</v>
      </c>
      <c r="L250" s="53">
        <f>L251</f>
        <v>1750000</v>
      </c>
      <c r="M250" s="53">
        <f>M251</f>
        <v>1750000</v>
      </c>
      <c r="N250" s="54">
        <f>N251</f>
        <v>1750000</v>
      </c>
      <c r="O250" s="63"/>
      <c r="P250" s="64"/>
      <c r="Q250" s="65"/>
      <c r="R250" s="65"/>
      <c r="S250" s="66"/>
      <c r="T250" s="51">
        <f t="shared" si="167"/>
        <v>3500000</v>
      </c>
      <c r="U250" s="52">
        <f>U251</f>
        <v>875000</v>
      </c>
      <c r="V250" s="53">
        <f>V251</f>
        <v>875000</v>
      </c>
      <c r="W250" s="53">
        <f>W251</f>
        <v>875000</v>
      </c>
      <c r="X250" s="54">
        <f>X251</f>
        <v>875000</v>
      </c>
      <c r="Y250" s="55">
        <f t="shared" si="169"/>
        <v>3500000</v>
      </c>
      <c r="Z250" s="52">
        <f>Z251</f>
        <v>875000</v>
      </c>
      <c r="AA250" s="53">
        <f>AA251</f>
        <v>875000</v>
      </c>
      <c r="AB250" s="53">
        <f>AB251</f>
        <v>875000</v>
      </c>
      <c r="AC250" s="54">
        <f>AC251</f>
        <v>875000</v>
      </c>
    </row>
    <row r="251" spans="1:29" ht="17" thickBot="1" x14ac:dyDescent="0.25">
      <c r="A251" s="87"/>
      <c r="B251" s="88" t="s">
        <v>52</v>
      </c>
      <c r="C251" s="89"/>
      <c r="D251" s="88"/>
      <c r="E251" s="90"/>
      <c r="F251" s="90"/>
      <c r="G251" s="91" t="s">
        <v>53</v>
      </c>
      <c r="H251" s="92" t="s">
        <v>54</v>
      </c>
      <c r="I251" s="93"/>
      <c r="J251" s="94">
        <f t="shared" si="165"/>
        <v>7000000</v>
      </c>
      <c r="K251" s="95">
        <f>P251+U251+Z251</f>
        <v>1750000</v>
      </c>
      <c r="L251" s="96">
        <f>Q251+V251+AA251</f>
        <v>1750000</v>
      </c>
      <c r="M251" s="96">
        <f>R251+W251+AB251</f>
        <v>1750000</v>
      </c>
      <c r="N251" s="97">
        <f>S251+X251+AC251</f>
        <v>1750000</v>
      </c>
      <c r="O251" s="98"/>
      <c r="P251" s="99"/>
      <c r="Q251" s="100"/>
      <c r="R251" s="100"/>
      <c r="S251" s="101"/>
      <c r="T251" s="94">
        <f t="shared" si="167"/>
        <v>3500000</v>
      </c>
      <c r="U251" s="102">
        <f>U20*1000</f>
        <v>875000</v>
      </c>
      <c r="V251" s="96">
        <f>V20*1000</f>
        <v>875000</v>
      </c>
      <c r="W251" s="96">
        <f>W20*1000</f>
        <v>875000</v>
      </c>
      <c r="X251" s="97">
        <f>X20*1000</f>
        <v>875000</v>
      </c>
      <c r="Y251" s="103">
        <f t="shared" si="169"/>
        <v>3500000</v>
      </c>
      <c r="Z251" s="102">
        <f>Z20*1000</f>
        <v>875000</v>
      </c>
      <c r="AA251" s="96">
        <f>AA20*1000</f>
        <v>875000</v>
      </c>
      <c r="AB251" s="96">
        <f>AB20*1000</f>
        <v>875000</v>
      </c>
      <c r="AC251" s="97">
        <f>AC20*1000</f>
        <v>875000</v>
      </c>
    </row>
    <row r="252" spans="1:29" x14ac:dyDescent="0.2">
      <c r="A252" s="104"/>
      <c r="B252" s="105"/>
      <c r="C252" s="106"/>
      <c r="D252" s="106"/>
      <c r="E252" s="106"/>
      <c r="F252" s="106"/>
      <c r="G252" s="107" t="s">
        <v>55</v>
      </c>
      <c r="H252" s="108"/>
      <c r="I252" s="109"/>
      <c r="J252" s="43">
        <f>K252+L252+M252+N252</f>
        <v>61898000</v>
      </c>
      <c r="K252" s="44">
        <f>K253+K255</f>
        <v>18401000</v>
      </c>
      <c r="L252" s="45">
        <f>L253+L255</f>
        <v>15589000</v>
      </c>
      <c r="M252" s="45">
        <f>M253+M255</f>
        <v>19661000</v>
      </c>
      <c r="N252" s="46">
        <f>N253+N255</f>
        <v>8247000</v>
      </c>
      <c r="O252" s="110">
        <f>P252+Q252+R252+S252</f>
        <v>61800000</v>
      </c>
      <c r="P252" s="44">
        <f>P253+P255</f>
        <v>18303000</v>
      </c>
      <c r="Q252" s="45">
        <f>Q253+Q255</f>
        <v>15589000</v>
      </c>
      <c r="R252" s="45">
        <f>R253+R255</f>
        <v>19661000</v>
      </c>
      <c r="S252" s="111">
        <f>S253+S255</f>
        <v>8247000</v>
      </c>
      <c r="T252" s="43">
        <f t="shared" si="167"/>
        <v>0</v>
      </c>
      <c r="U252" s="44">
        <f>U253+U255</f>
        <v>0</v>
      </c>
      <c r="V252" s="45">
        <f>V253+V255</f>
        <v>0</v>
      </c>
      <c r="W252" s="45">
        <f>W253+W255</f>
        <v>0</v>
      </c>
      <c r="X252" s="46">
        <f>X253+X255</f>
        <v>0</v>
      </c>
      <c r="Y252" s="110">
        <f t="shared" si="169"/>
        <v>98000</v>
      </c>
      <c r="Z252" s="44">
        <f>Z253+Z255</f>
        <v>98000</v>
      </c>
      <c r="AA252" s="45">
        <f>AA253+AA255</f>
        <v>0</v>
      </c>
      <c r="AB252" s="45">
        <f>AB253+AB255</f>
        <v>0</v>
      </c>
      <c r="AC252" s="46">
        <f>AC253+AC255</f>
        <v>0</v>
      </c>
    </row>
    <row r="253" spans="1:29" ht="51" customHeight="1" x14ac:dyDescent="0.2">
      <c r="A253" s="112" t="s">
        <v>56</v>
      </c>
      <c r="B253" s="113"/>
      <c r="C253" s="114"/>
      <c r="D253" s="114"/>
      <c r="E253" s="114"/>
      <c r="F253" s="114"/>
      <c r="G253" s="115" t="s">
        <v>57</v>
      </c>
      <c r="H253" s="116" t="s">
        <v>56</v>
      </c>
      <c r="I253" s="117"/>
      <c r="J253" s="51">
        <f t="shared" ref="J253:J259" si="171">K253+L253+M253+N253</f>
        <v>61800000</v>
      </c>
      <c r="K253" s="62">
        <f>K254</f>
        <v>18303000</v>
      </c>
      <c r="L253" s="53">
        <f>L254</f>
        <v>15589000</v>
      </c>
      <c r="M253" s="53">
        <f>M254</f>
        <v>19661000</v>
      </c>
      <c r="N253" s="54">
        <f>N254</f>
        <v>8247000</v>
      </c>
      <c r="O253" s="55">
        <f t="shared" ref="O253:O281" si="172">P253+Q253+R253+S253</f>
        <v>61800000</v>
      </c>
      <c r="P253" s="62">
        <f>P254</f>
        <v>18303000</v>
      </c>
      <c r="Q253" s="53">
        <f>Q254</f>
        <v>15589000</v>
      </c>
      <c r="R253" s="53">
        <f>R254</f>
        <v>19661000</v>
      </c>
      <c r="S253" s="118">
        <f>S254</f>
        <v>8247000</v>
      </c>
      <c r="T253" s="51">
        <f t="shared" si="167"/>
        <v>0</v>
      </c>
      <c r="U253" s="62">
        <f>U254</f>
        <v>0</v>
      </c>
      <c r="V253" s="53">
        <f>V254</f>
        <v>0</v>
      </c>
      <c r="W253" s="53">
        <f>W254</f>
        <v>0</v>
      </c>
      <c r="X253" s="54">
        <f>X254</f>
        <v>0</v>
      </c>
      <c r="Y253" s="55">
        <f t="shared" si="169"/>
        <v>0</v>
      </c>
      <c r="Z253" s="62">
        <f>Z254</f>
        <v>0</v>
      </c>
      <c r="AA253" s="53">
        <f>AA254</f>
        <v>0</v>
      </c>
      <c r="AB253" s="53">
        <f>AB254</f>
        <v>0</v>
      </c>
      <c r="AC253" s="54">
        <f>AC254</f>
        <v>0</v>
      </c>
    </row>
    <row r="254" spans="1:29" ht="16" x14ac:dyDescent="0.2">
      <c r="A254" s="119"/>
      <c r="B254" s="120" t="s">
        <v>58</v>
      </c>
      <c r="C254" s="120"/>
      <c r="D254" s="121"/>
      <c r="E254" s="121"/>
      <c r="F254" s="121"/>
      <c r="G254" s="122" t="s">
        <v>59</v>
      </c>
      <c r="H254" s="123" t="s">
        <v>60</v>
      </c>
      <c r="I254" s="124"/>
      <c r="J254" s="94">
        <f t="shared" si="171"/>
        <v>61800000</v>
      </c>
      <c r="K254" s="95">
        <f t="shared" ref="K254:N257" si="173">P254+U254+Z254</f>
        <v>18303000</v>
      </c>
      <c r="L254" s="96">
        <f t="shared" si="173"/>
        <v>15589000</v>
      </c>
      <c r="M254" s="96">
        <f t="shared" si="173"/>
        <v>19661000</v>
      </c>
      <c r="N254" s="97">
        <f t="shared" si="173"/>
        <v>8247000</v>
      </c>
      <c r="O254" s="103">
        <f t="shared" si="172"/>
        <v>61800000</v>
      </c>
      <c r="P254" s="95">
        <f>P23*1000</f>
        <v>18303000</v>
      </c>
      <c r="Q254" s="96">
        <f>Q23*1000</f>
        <v>15589000</v>
      </c>
      <c r="R254" s="96">
        <f>R23*1000</f>
        <v>19661000</v>
      </c>
      <c r="S254" s="125">
        <f>S23*1000</f>
        <v>8247000</v>
      </c>
      <c r="T254" s="94">
        <f t="shared" si="167"/>
        <v>0</v>
      </c>
      <c r="U254" s="95">
        <v>0</v>
      </c>
      <c r="V254" s="96">
        <v>0</v>
      </c>
      <c r="W254" s="96">
        <v>0</v>
      </c>
      <c r="X254" s="97">
        <v>0</v>
      </c>
      <c r="Y254" s="103">
        <f t="shared" si="169"/>
        <v>0</v>
      </c>
      <c r="Z254" s="95">
        <v>0</v>
      </c>
      <c r="AA254" s="96">
        <v>0</v>
      </c>
      <c r="AB254" s="96">
        <v>0</v>
      </c>
      <c r="AC254" s="97">
        <v>0</v>
      </c>
    </row>
    <row r="255" spans="1:29" ht="42" x14ac:dyDescent="0.2">
      <c r="A255" s="126" t="s">
        <v>61</v>
      </c>
      <c r="B255" s="127"/>
      <c r="C255" s="128"/>
      <c r="D255" s="129"/>
      <c r="E255" s="129"/>
      <c r="F255" s="129"/>
      <c r="G255" s="130" t="s">
        <v>62</v>
      </c>
      <c r="H255" s="131" t="s">
        <v>61</v>
      </c>
      <c r="I255" s="132"/>
      <c r="J255" s="133">
        <f t="shared" si="171"/>
        <v>98000</v>
      </c>
      <c r="K255" s="62">
        <f t="shared" si="173"/>
        <v>98000</v>
      </c>
      <c r="L255" s="53">
        <f t="shared" si="173"/>
        <v>0</v>
      </c>
      <c r="M255" s="53">
        <f t="shared" si="173"/>
        <v>0</v>
      </c>
      <c r="N255" s="54">
        <f t="shared" si="173"/>
        <v>0</v>
      </c>
      <c r="O255" s="55">
        <f t="shared" si="172"/>
        <v>0</v>
      </c>
      <c r="P255" s="62">
        <f>P256</f>
        <v>0</v>
      </c>
      <c r="Q255" s="53">
        <f t="shared" ref="Q255:S256" si="174">Q256</f>
        <v>0</v>
      </c>
      <c r="R255" s="53">
        <f t="shared" si="174"/>
        <v>0</v>
      </c>
      <c r="S255" s="118">
        <f t="shared" si="174"/>
        <v>0</v>
      </c>
      <c r="T255" s="51">
        <f t="shared" si="167"/>
        <v>0</v>
      </c>
      <c r="U255" s="62">
        <f>U256</f>
        <v>0</v>
      </c>
      <c r="V255" s="53">
        <f t="shared" ref="V255:X256" si="175">V256</f>
        <v>0</v>
      </c>
      <c r="W255" s="53">
        <f t="shared" si="175"/>
        <v>0</v>
      </c>
      <c r="X255" s="54">
        <f t="shared" si="175"/>
        <v>0</v>
      </c>
      <c r="Y255" s="55">
        <f t="shared" si="169"/>
        <v>98000</v>
      </c>
      <c r="Z255" s="62">
        <f>Z256</f>
        <v>98000</v>
      </c>
      <c r="AA255" s="53">
        <f t="shared" ref="AA255:AC256" si="176">AA256</f>
        <v>0</v>
      </c>
      <c r="AB255" s="53">
        <f t="shared" si="176"/>
        <v>0</v>
      </c>
      <c r="AC255" s="54">
        <f t="shared" si="176"/>
        <v>0</v>
      </c>
    </row>
    <row r="256" spans="1:29" ht="16" x14ac:dyDescent="0.2">
      <c r="A256" s="135"/>
      <c r="B256" s="136" t="s">
        <v>63</v>
      </c>
      <c r="C256" s="136"/>
      <c r="D256" s="114"/>
      <c r="E256" s="114"/>
      <c r="F256" s="114"/>
      <c r="G256" s="137" t="s">
        <v>64</v>
      </c>
      <c r="H256" s="138" t="s">
        <v>65</v>
      </c>
      <c r="I256" s="139"/>
      <c r="J256" s="94">
        <f t="shared" si="171"/>
        <v>98000</v>
      </c>
      <c r="K256" s="76">
        <f t="shared" si="173"/>
        <v>98000</v>
      </c>
      <c r="L256" s="77">
        <f t="shared" si="173"/>
        <v>0</v>
      </c>
      <c r="M256" s="77">
        <f t="shared" si="173"/>
        <v>0</v>
      </c>
      <c r="N256" s="78">
        <f t="shared" si="173"/>
        <v>0</v>
      </c>
      <c r="O256" s="86">
        <f t="shared" si="172"/>
        <v>0</v>
      </c>
      <c r="P256" s="76">
        <f>P257</f>
        <v>0</v>
      </c>
      <c r="Q256" s="77">
        <f t="shared" si="174"/>
        <v>0</v>
      </c>
      <c r="R256" s="77">
        <f t="shared" si="174"/>
        <v>0</v>
      </c>
      <c r="S256" s="140">
        <f t="shared" si="174"/>
        <v>0</v>
      </c>
      <c r="T256" s="75">
        <f t="shared" si="167"/>
        <v>0</v>
      </c>
      <c r="U256" s="76">
        <f>U257</f>
        <v>0</v>
      </c>
      <c r="V256" s="77">
        <f t="shared" si="175"/>
        <v>0</v>
      </c>
      <c r="W256" s="77">
        <f t="shared" si="175"/>
        <v>0</v>
      </c>
      <c r="X256" s="78">
        <f t="shared" si="175"/>
        <v>0</v>
      </c>
      <c r="Y256" s="86">
        <f t="shared" si="169"/>
        <v>98000</v>
      </c>
      <c r="Z256" s="76">
        <f>Z257</f>
        <v>98000</v>
      </c>
      <c r="AA256" s="77">
        <f t="shared" si="176"/>
        <v>0</v>
      </c>
      <c r="AB256" s="77">
        <f t="shared" si="176"/>
        <v>0</v>
      </c>
      <c r="AC256" s="78">
        <f t="shared" si="176"/>
        <v>0</v>
      </c>
    </row>
    <row r="257" spans="1:29" ht="17" thickBot="1" x14ac:dyDescent="0.25">
      <c r="A257" s="141"/>
      <c r="B257" s="142"/>
      <c r="C257" s="142" t="s">
        <v>66</v>
      </c>
      <c r="D257" s="143"/>
      <c r="E257" s="143"/>
      <c r="F257" s="143"/>
      <c r="G257" s="144" t="s">
        <v>67</v>
      </c>
      <c r="H257" s="145" t="s">
        <v>68</v>
      </c>
      <c r="I257" s="146"/>
      <c r="J257" s="94">
        <f t="shared" si="171"/>
        <v>98000</v>
      </c>
      <c r="K257" s="95">
        <f t="shared" si="173"/>
        <v>98000</v>
      </c>
      <c r="L257" s="96">
        <f t="shared" si="173"/>
        <v>0</v>
      </c>
      <c r="M257" s="96">
        <f t="shared" si="173"/>
        <v>0</v>
      </c>
      <c r="N257" s="97">
        <f t="shared" si="173"/>
        <v>0</v>
      </c>
      <c r="O257" s="103">
        <f t="shared" si="172"/>
        <v>0</v>
      </c>
      <c r="P257" s="95">
        <f>P401</f>
        <v>0</v>
      </c>
      <c r="Q257" s="96">
        <f>Q401</f>
        <v>0</v>
      </c>
      <c r="R257" s="96">
        <f>R401</f>
        <v>0</v>
      </c>
      <c r="S257" s="125">
        <f>S401</f>
        <v>0</v>
      </c>
      <c r="T257" s="94">
        <f t="shared" si="167"/>
        <v>0</v>
      </c>
      <c r="U257" s="95">
        <f>U405</f>
        <v>0</v>
      </c>
      <c r="V257" s="96">
        <f>V405</f>
        <v>0</v>
      </c>
      <c r="W257" s="96">
        <f>W405</f>
        <v>0</v>
      </c>
      <c r="X257" s="97">
        <f>X405</f>
        <v>0</v>
      </c>
      <c r="Y257" s="103">
        <f t="shared" si="169"/>
        <v>98000</v>
      </c>
      <c r="Z257" s="95">
        <f>Z26*1000</f>
        <v>98000</v>
      </c>
      <c r="AA257" s="96">
        <f>AA26*1000</f>
        <v>0</v>
      </c>
      <c r="AB257" s="96">
        <f>AB26*1000</f>
        <v>0</v>
      </c>
      <c r="AC257" s="97">
        <f>AC26*1000</f>
        <v>0</v>
      </c>
    </row>
    <row r="258" spans="1:29" x14ac:dyDescent="0.2">
      <c r="A258" s="1285" t="s">
        <v>69</v>
      </c>
      <c r="B258" s="1287"/>
      <c r="C258" s="1287"/>
      <c r="D258" s="1287"/>
      <c r="E258" s="1287"/>
      <c r="F258" s="1287"/>
      <c r="G258" s="1289" t="s">
        <v>70</v>
      </c>
      <c r="H258" s="1271" t="s">
        <v>71</v>
      </c>
      <c r="I258" s="147" t="s">
        <v>72</v>
      </c>
      <c r="J258" s="148">
        <f t="shared" si="171"/>
        <v>2295620000</v>
      </c>
      <c r="K258" s="149">
        <f t="shared" ref="K258:N259" si="177">K260+K272</f>
        <v>2288541000</v>
      </c>
      <c r="L258" s="150">
        <f t="shared" si="177"/>
        <v>0</v>
      </c>
      <c r="M258" s="150">
        <f t="shared" si="177"/>
        <v>5469000</v>
      </c>
      <c r="N258" s="151">
        <f t="shared" si="177"/>
        <v>1610000</v>
      </c>
      <c r="O258" s="152">
        <f t="shared" si="172"/>
        <v>1172689000</v>
      </c>
      <c r="P258" s="153">
        <f t="shared" ref="P258:S259" si="178">P260+P272</f>
        <v>1172689000</v>
      </c>
      <c r="Q258" s="154">
        <f t="shared" si="178"/>
        <v>0</v>
      </c>
      <c r="R258" s="154">
        <f t="shared" si="178"/>
        <v>0</v>
      </c>
      <c r="S258" s="155">
        <f t="shared" si="178"/>
        <v>0</v>
      </c>
      <c r="T258" s="156">
        <f t="shared" si="167"/>
        <v>694794000</v>
      </c>
      <c r="U258" s="157">
        <f t="shared" ref="U258:X259" si="179">U260+U272</f>
        <v>694794000</v>
      </c>
      <c r="V258" s="158">
        <f t="shared" si="179"/>
        <v>0</v>
      </c>
      <c r="W258" s="158">
        <f t="shared" si="179"/>
        <v>0</v>
      </c>
      <c r="X258" s="159">
        <f t="shared" si="179"/>
        <v>0</v>
      </c>
      <c r="Y258" s="160">
        <f t="shared" si="169"/>
        <v>428137000</v>
      </c>
      <c r="Z258" s="161">
        <f t="shared" ref="Z258:AC259" si="180">Z260+Z272</f>
        <v>421058000</v>
      </c>
      <c r="AA258" s="162">
        <f t="shared" si="180"/>
        <v>0</v>
      </c>
      <c r="AB258" s="162">
        <f t="shared" si="180"/>
        <v>5469000</v>
      </c>
      <c r="AC258" s="163">
        <f t="shared" si="180"/>
        <v>1610000</v>
      </c>
    </row>
    <row r="259" spans="1:29" ht="16" thickBot="1" x14ac:dyDescent="0.25">
      <c r="A259" s="1286"/>
      <c r="B259" s="1288"/>
      <c r="C259" s="1288"/>
      <c r="D259" s="1288"/>
      <c r="E259" s="1288"/>
      <c r="F259" s="1288"/>
      <c r="G259" s="1290"/>
      <c r="H259" s="1291"/>
      <c r="I259" s="165" t="s">
        <v>73</v>
      </c>
      <c r="J259" s="166">
        <f t="shared" si="171"/>
        <v>1048777000</v>
      </c>
      <c r="K259" s="167">
        <f t="shared" si="177"/>
        <v>330242000</v>
      </c>
      <c r="L259" s="168">
        <f t="shared" si="177"/>
        <v>251100000</v>
      </c>
      <c r="M259" s="168">
        <f t="shared" si="177"/>
        <v>237253000</v>
      </c>
      <c r="N259" s="169">
        <f t="shared" si="177"/>
        <v>230182000</v>
      </c>
      <c r="O259" s="170">
        <f t="shared" si="172"/>
        <v>61800000</v>
      </c>
      <c r="P259" s="171">
        <f t="shared" si="178"/>
        <v>18303000</v>
      </c>
      <c r="Q259" s="172">
        <f t="shared" si="178"/>
        <v>15589000</v>
      </c>
      <c r="R259" s="172">
        <f t="shared" si="178"/>
        <v>19661000</v>
      </c>
      <c r="S259" s="173">
        <f t="shared" si="178"/>
        <v>8247000</v>
      </c>
      <c r="T259" s="174">
        <f t="shared" si="167"/>
        <v>553786000</v>
      </c>
      <c r="U259" s="175">
        <f t="shared" si="179"/>
        <v>182598000</v>
      </c>
      <c r="V259" s="176">
        <f t="shared" si="179"/>
        <v>128840000</v>
      </c>
      <c r="W259" s="176">
        <f t="shared" si="179"/>
        <v>109902000</v>
      </c>
      <c r="X259" s="177">
        <f t="shared" si="179"/>
        <v>132446000</v>
      </c>
      <c r="Y259" s="178">
        <f t="shared" si="169"/>
        <v>433191000</v>
      </c>
      <c r="Z259" s="179">
        <f t="shared" si="180"/>
        <v>129341000</v>
      </c>
      <c r="AA259" s="180">
        <f t="shared" si="180"/>
        <v>106671000</v>
      </c>
      <c r="AB259" s="180">
        <f t="shared" si="180"/>
        <v>107690000</v>
      </c>
      <c r="AC259" s="181">
        <f t="shared" si="180"/>
        <v>89489000</v>
      </c>
    </row>
    <row r="260" spans="1:29" x14ac:dyDescent="0.2">
      <c r="A260" s="1282"/>
      <c r="B260" s="1283"/>
      <c r="C260" s="1283"/>
      <c r="D260" s="1284" t="s">
        <v>74</v>
      </c>
      <c r="E260" s="1283"/>
      <c r="F260" s="1283"/>
      <c r="G260" s="1269" t="s">
        <v>75</v>
      </c>
      <c r="H260" s="1271" t="s">
        <v>76</v>
      </c>
      <c r="I260" s="147" t="s">
        <v>72</v>
      </c>
      <c r="J260" s="148">
        <f>K260+L260+M260+N260</f>
        <v>2280661000</v>
      </c>
      <c r="K260" s="149">
        <f t="shared" ref="K260:N261" si="181">K262+K264+K266+K268+K270</f>
        <v>2280161000</v>
      </c>
      <c r="L260" s="150">
        <f t="shared" si="181"/>
        <v>0</v>
      </c>
      <c r="M260" s="150">
        <f t="shared" si="181"/>
        <v>500000</v>
      </c>
      <c r="N260" s="151">
        <f t="shared" si="181"/>
        <v>0</v>
      </c>
      <c r="O260" s="152">
        <f t="shared" si="172"/>
        <v>1172689000</v>
      </c>
      <c r="P260" s="153">
        <f t="shared" ref="P260:S261" si="182">P262+P264+P266+P268+P270</f>
        <v>1172689000</v>
      </c>
      <c r="Q260" s="154">
        <f t="shared" si="182"/>
        <v>0</v>
      </c>
      <c r="R260" s="154">
        <f t="shared" si="182"/>
        <v>0</v>
      </c>
      <c r="S260" s="155">
        <f t="shared" si="182"/>
        <v>0</v>
      </c>
      <c r="T260" s="156">
        <f t="shared" si="167"/>
        <v>693378000</v>
      </c>
      <c r="U260" s="157">
        <f t="shared" ref="U260:X261" si="183">U262+U264+U266+U268+U270</f>
        <v>693378000</v>
      </c>
      <c r="V260" s="158">
        <f t="shared" si="183"/>
        <v>0</v>
      </c>
      <c r="W260" s="158">
        <f t="shared" si="183"/>
        <v>0</v>
      </c>
      <c r="X260" s="159">
        <f t="shared" si="183"/>
        <v>0</v>
      </c>
      <c r="Y260" s="160">
        <f t="shared" si="169"/>
        <v>414594000</v>
      </c>
      <c r="Z260" s="161">
        <f t="shared" ref="Z260:AC261" si="184">Z262+Z264+Z266+Z268+Z270</f>
        <v>414094000</v>
      </c>
      <c r="AA260" s="162">
        <f t="shared" si="184"/>
        <v>0</v>
      </c>
      <c r="AB260" s="162">
        <f t="shared" si="184"/>
        <v>500000</v>
      </c>
      <c r="AC260" s="163">
        <f t="shared" si="184"/>
        <v>0</v>
      </c>
    </row>
    <row r="261" spans="1:29" x14ac:dyDescent="0.2">
      <c r="A261" s="1274"/>
      <c r="B261" s="1276"/>
      <c r="C261" s="1276"/>
      <c r="D261" s="1278"/>
      <c r="E261" s="1276"/>
      <c r="F261" s="1276"/>
      <c r="G261" s="1270"/>
      <c r="H261" s="1272"/>
      <c r="I261" s="182" t="s">
        <v>73</v>
      </c>
      <c r="J261" s="183">
        <f>K261+L261+M261+N261</f>
        <v>1028805000</v>
      </c>
      <c r="K261" s="184">
        <f t="shared" si="181"/>
        <v>323560000</v>
      </c>
      <c r="L261" s="185">
        <f t="shared" si="181"/>
        <v>246606000</v>
      </c>
      <c r="M261" s="185">
        <f t="shared" si="181"/>
        <v>229833000</v>
      </c>
      <c r="N261" s="186">
        <f t="shared" si="181"/>
        <v>228806000</v>
      </c>
      <c r="O261" s="187">
        <f t="shared" si="172"/>
        <v>61800000</v>
      </c>
      <c r="P261" s="188">
        <f t="shared" si="182"/>
        <v>18303000</v>
      </c>
      <c r="Q261" s="189">
        <f t="shared" si="182"/>
        <v>15589000</v>
      </c>
      <c r="R261" s="189">
        <f t="shared" si="182"/>
        <v>19661000</v>
      </c>
      <c r="S261" s="190">
        <f t="shared" si="182"/>
        <v>8247000</v>
      </c>
      <c r="T261" s="191">
        <f t="shared" si="167"/>
        <v>552370000</v>
      </c>
      <c r="U261" s="192">
        <f t="shared" si="183"/>
        <v>182446000</v>
      </c>
      <c r="V261" s="193">
        <f t="shared" si="183"/>
        <v>127576000</v>
      </c>
      <c r="W261" s="193">
        <f t="shared" si="183"/>
        <v>109902000</v>
      </c>
      <c r="X261" s="194">
        <f t="shared" si="183"/>
        <v>132446000</v>
      </c>
      <c r="Y261" s="195">
        <f t="shared" si="169"/>
        <v>414635000</v>
      </c>
      <c r="Z261" s="196">
        <f t="shared" si="184"/>
        <v>122811000</v>
      </c>
      <c r="AA261" s="197">
        <f t="shared" si="184"/>
        <v>103441000</v>
      </c>
      <c r="AB261" s="197">
        <f t="shared" si="184"/>
        <v>100270000</v>
      </c>
      <c r="AC261" s="198">
        <f t="shared" si="184"/>
        <v>88113000</v>
      </c>
    </row>
    <row r="262" spans="1:29" s="8" customFormat="1" x14ac:dyDescent="0.15">
      <c r="A262" s="1273"/>
      <c r="B262" s="1275"/>
      <c r="C262" s="1275"/>
      <c r="D262" s="1277" t="s">
        <v>33</v>
      </c>
      <c r="E262" s="1275"/>
      <c r="F262" s="1275"/>
      <c r="G262" s="1279" t="s">
        <v>77</v>
      </c>
      <c r="H262" s="1281" t="s">
        <v>78</v>
      </c>
      <c r="I262" s="199" t="s">
        <v>72</v>
      </c>
      <c r="J262" s="200">
        <f t="shared" ref="J262:J281" si="185">K262+L262+M262+N262</f>
        <v>394837000</v>
      </c>
      <c r="K262" s="201">
        <f t="shared" ref="K262:N263" si="186">K280</f>
        <v>394837000</v>
      </c>
      <c r="L262" s="202">
        <f t="shared" si="186"/>
        <v>0</v>
      </c>
      <c r="M262" s="202">
        <f t="shared" si="186"/>
        <v>0</v>
      </c>
      <c r="N262" s="203">
        <f t="shared" si="186"/>
        <v>0</v>
      </c>
      <c r="O262" s="204">
        <f t="shared" si="172"/>
        <v>0</v>
      </c>
      <c r="P262" s="205">
        <f t="shared" ref="P262:S263" si="187">P280</f>
        <v>0</v>
      </c>
      <c r="Q262" s="206">
        <f t="shared" si="187"/>
        <v>0</v>
      </c>
      <c r="R262" s="206">
        <f t="shared" si="187"/>
        <v>0</v>
      </c>
      <c r="S262" s="207">
        <f t="shared" si="187"/>
        <v>0</v>
      </c>
      <c r="T262" s="208">
        <f t="shared" si="167"/>
        <v>59000000</v>
      </c>
      <c r="U262" s="209">
        <f t="shared" ref="U262:X263" si="188">U280</f>
        <v>59000000</v>
      </c>
      <c r="V262" s="210">
        <f t="shared" si="188"/>
        <v>0</v>
      </c>
      <c r="W262" s="210">
        <f t="shared" si="188"/>
        <v>0</v>
      </c>
      <c r="X262" s="211">
        <f t="shared" si="188"/>
        <v>0</v>
      </c>
      <c r="Y262" s="212">
        <f t="shared" si="169"/>
        <v>335837000</v>
      </c>
      <c r="Z262" s="213">
        <f t="shared" ref="Z262:AC263" si="189">Z280</f>
        <v>335837000</v>
      </c>
      <c r="AA262" s="214">
        <f t="shared" si="189"/>
        <v>0</v>
      </c>
      <c r="AB262" s="214">
        <f t="shared" si="189"/>
        <v>0</v>
      </c>
      <c r="AC262" s="215">
        <f t="shared" si="189"/>
        <v>0</v>
      </c>
    </row>
    <row r="263" spans="1:29" x14ac:dyDescent="0.2">
      <c r="A263" s="1274"/>
      <c r="B263" s="1276"/>
      <c r="C263" s="1276"/>
      <c r="D263" s="1278"/>
      <c r="E263" s="1276"/>
      <c r="F263" s="1276"/>
      <c r="G263" s="1280"/>
      <c r="H263" s="1272"/>
      <c r="I263" s="216" t="s">
        <v>73</v>
      </c>
      <c r="J263" s="217">
        <f t="shared" si="185"/>
        <v>394837000</v>
      </c>
      <c r="K263" s="184">
        <f t="shared" si="186"/>
        <v>110124000</v>
      </c>
      <c r="L263" s="185">
        <f t="shared" si="186"/>
        <v>100454000</v>
      </c>
      <c r="M263" s="185">
        <f t="shared" si="186"/>
        <v>99415000</v>
      </c>
      <c r="N263" s="186">
        <f t="shared" si="186"/>
        <v>84844000</v>
      </c>
      <c r="O263" s="218">
        <f t="shared" si="172"/>
        <v>0</v>
      </c>
      <c r="P263" s="188">
        <f t="shared" si="187"/>
        <v>0</v>
      </c>
      <c r="Q263" s="189">
        <f t="shared" si="187"/>
        <v>0</v>
      </c>
      <c r="R263" s="189">
        <f t="shared" si="187"/>
        <v>0</v>
      </c>
      <c r="S263" s="190">
        <f t="shared" si="187"/>
        <v>0</v>
      </c>
      <c r="T263" s="219">
        <f t="shared" si="167"/>
        <v>59000000</v>
      </c>
      <c r="U263" s="192">
        <f t="shared" si="188"/>
        <v>16761000</v>
      </c>
      <c r="V263" s="193">
        <f t="shared" si="188"/>
        <v>15061000</v>
      </c>
      <c r="W263" s="193">
        <f t="shared" si="188"/>
        <v>14797000</v>
      </c>
      <c r="X263" s="194">
        <f t="shared" si="188"/>
        <v>12381000</v>
      </c>
      <c r="Y263" s="220">
        <f t="shared" si="169"/>
        <v>335837000</v>
      </c>
      <c r="Z263" s="196">
        <f t="shared" si="189"/>
        <v>93363000</v>
      </c>
      <c r="AA263" s="197">
        <f t="shared" si="189"/>
        <v>85393000</v>
      </c>
      <c r="AB263" s="197">
        <f t="shared" si="189"/>
        <v>84618000</v>
      </c>
      <c r="AC263" s="198">
        <f t="shared" si="189"/>
        <v>72463000</v>
      </c>
    </row>
    <row r="264" spans="1:29" ht="15" customHeight="1" x14ac:dyDescent="0.2">
      <c r="A264" s="1273"/>
      <c r="B264" s="1275"/>
      <c r="C264" s="1275"/>
      <c r="D264" s="1277" t="s">
        <v>79</v>
      </c>
      <c r="E264" s="1275"/>
      <c r="F264" s="1275"/>
      <c r="G264" s="1279" t="s">
        <v>80</v>
      </c>
      <c r="H264" s="1281" t="s">
        <v>81</v>
      </c>
      <c r="I264" s="221" t="s">
        <v>72</v>
      </c>
      <c r="J264" s="200">
        <f t="shared" si="185"/>
        <v>269339000</v>
      </c>
      <c r="K264" s="201">
        <f t="shared" ref="K264:N265" si="190">K326</f>
        <v>269339000</v>
      </c>
      <c r="L264" s="202">
        <f t="shared" si="190"/>
        <v>0</v>
      </c>
      <c r="M264" s="202">
        <f t="shared" si="190"/>
        <v>0</v>
      </c>
      <c r="N264" s="203">
        <f t="shared" si="190"/>
        <v>0</v>
      </c>
      <c r="O264" s="204">
        <f t="shared" si="172"/>
        <v>0</v>
      </c>
      <c r="P264" s="205">
        <f t="shared" ref="P264:S265" si="191">P326</f>
        <v>0</v>
      </c>
      <c r="Q264" s="206">
        <f t="shared" si="191"/>
        <v>0</v>
      </c>
      <c r="R264" s="206">
        <f t="shared" si="191"/>
        <v>0</v>
      </c>
      <c r="S264" s="207">
        <f t="shared" si="191"/>
        <v>0</v>
      </c>
      <c r="T264" s="208">
        <f t="shared" si="167"/>
        <v>194239000</v>
      </c>
      <c r="U264" s="209">
        <f t="shared" ref="U264:X265" si="192">U326</f>
        <v>194239000</v>
      </c>
      <c r="V264" s="210">
        <f t="shared" si="192"/>
        <v>0</v>
      </c>
      <c r="W264" s="210">
        <f t="shared" si="192"/>
        <v>0</v>
      </c>
      <c r="X264" s="211">
        <f t="shared" si="192"/>
        <v>0</v>
      </c>
      <c r="Y264" s="212">
        <f t="shared" si="169"/>
        <v>75100000</v>
      </c>
      <c r="Z264" s="213">
        <f t="shared" ref="Z264:AC265" si="193">Z326</f>
        <v>75100000</v>
      </c>
      <c r="AA264" s="214">
        <f t="shared" si="193"/>
        <v>0</v>
      </c>
      <c r="AB264" s="214">
        <f t="shared" si="193"/>
        <v>0</v>
      </c>
      <c r="AC264" s="215">
        <f t="shared" si="193"/>
        <v>0</v>
      </c>
    </row>
    <row r="265" spans="1:29" x14ac:dyDescent="0.2">
      <c r="A265" s="1274"/>
      <c r="B265" s="1276"/>
      <c r="C265" s="1276"/>
      <c r="D265" s="1278"/>
      <c r="E265" s="1276"/>
      <c r="F265" s="1276"/>
      <c r="G265" s="1280"/>
      <c r="H265" s="1272"/>
      <c r="I265" s="216" t="s">
        <v>73</v>
      </c>
      <c r="J265" s="217">
        <f t="shared" si="185"/>
        <v>215924000</v>
      </c>
      <c r="K265" s="184">
        <f t="shared" si="190"/>
        <v>76615000</v>
      </c>
      <c r="L265" s="185">
        <f t="shared" si="190"/>
        <v>48423000</v>
      </c>
      <c r="M265" s="185">
        <f t="shared" si="190"/>
        <v>45127000</v>
      </c>
      <c r="N265" s="186">
        <f t="shared" si="190"/>
        <v>45759000</v>
      </c>
      <c r="O265" s="218">
        <f t="shared" si="172"/>
        <v>0</v>
      </c>
      <c r="P265" s="188">
        <f t="shared" si="191"/>
        <v>0</v>
      </c>
      <c r="Q265" s="189">
        <f t="shared" si="191"/>
        <v>0</v>
      </c>
      <c r="R265" s="189">
        <f t="shared" si="191"/>
        <v>0</v>
      </c>
      <c r="S265" s="190">
        <f t="shared" si="191"/>
        <v>0</v>
      </c>
      <c r="T265" s="219">
        <f t="shared" si="167"/>
        <v>140824000</v>
      </c>
      <c r="U265" s="192">
        <f t="shared" si="192"/>
        <v>48485000</v>
      </c>
      <c r="V265" s="193">
        <f t="shared" si="192"/>
        <v>31015000</v>
      </c>
      <c r="W265" s="193">
        <f t="shared" si="192"/>
        <v>30605000</v>
      </c>
      <c r="X265" s="194">
        <f t="shared" si="192"/>
        <v>30719000</v>
      </c>
      <c r="Y265" s="220">
        <f t="shared" si="169"/>
        <v>75100000</v>
      </c>
      <c r="Z265" s="196">
        <f t="shared" si="193"/>
        <v>28130000</v>
      </c>
      <c r="AA265" s="197">
        <f t="shared" si="193"/>
        <v>17408000</v>
      </c>
      <c r="AB265" s="197">
        <f t="shared" si="193"/>
        <v>14522000</v>
      </c>
      <c r="AC265" s="198">
        <f t="shared" si="193"/>
        <v>15040000</v>
      </c>
    </row>
    <row r="266" spans="1:29" ht="22.75" customHeight="1" x14ac:dyDescent="0.2">
      <c r="A266" s="1273"/>
      <c r="B266" s="1275"/>
      <c r="C266" s="1275"/>
      <c r="D266" s="1296" t="s">
        <v>82</v>
      </c>
      <c r="E266" s="1275"/>
      <c r="F266" s="1275"/>
      <c r="G266" s="1298" t="s">
        <v>83</v>
      </c>
      <c r="H266" s="1300" t="s">
        <v>84</v>
      </c>
      <c r="I266" s="221" t="s">
        <v>72</v>
      </c>
      <c r="J266" s="200">
        <f t="shared" si="185"/>
        <v>439439000</v>
      </c>
      <c r="K266" s="201">
        <f t="shared" ref="K266:N267" si="194">K384</f>
        <v>439439000</v>
      </c>
      <c r="L266" s="202">
        <f t="shared" si="194"/>
        <v>0</v>
      </c>
      <c r="M266" s="202">
        <f t="shared" si="194"/>
        <v>0</v>
      </c>
      <c r="N266" s="203">
        <f t="shared" si="194"/>
        <v>0</v>
      </c>
      <c r="O266" s="204">
        <f t="shared" si="172"/>
        <v>0</v>
      </c>
      <c r="P266" s="205">
        <f t="shared" ref="P266:S267" si="195">P384</f>
        <v>0</v>
      </c>
      <c r="Q266" s="206">
        <f t="shared" si="195"/>
        <v>0</v>
      </c>
      <c r="R266" s="206">
        <f t="shared" si="195"/>
        <v>0</v>
      </c>
      <c r="S266" s="207">
        <f t="shared" si="195"/>
        <v>0</v>
      </c>
      <c r="T266" s="208">
        <f t="shared" si="167"/>
        <v>439439000</v>
      </c>
      <c r="U266" s="209">
        <f t="shared" ref="U266:X267" si="196">U384</f>
        <v>439439000</v>
      </c>
      <c r="V266" s="210">
        <f t="shared" si="196"/>
        <v>0</v>
      </c>
      <c r="W266" s="210">
        <f t="shared" si="196"/>
        <v>0</v>
      </c>
      <c r="X266" s="211">
        <f t="shared" si="196"/>
        <v>0</v>
      </c>
      <c r="Y266" s="212">
        <f t="shared" si="169"/>
        <v>0</v>
      </c>
      <c r="Z266" s="213">
        <f t="shared" ref="Z266:AC267" si="197">Z384</f>
        <v>0</v>
      </c>
      <c r="AA266" s="214">
        <f t="shared" si="197"/>
        <v>0</v>
      </c>
      <c r="AB266" s="214">
        <f t="shared" si="197"/>
        <v>0</v>
      </c>
      <c r="AC266" s="215">
        <f t="shared" si="197"/>
        <v>0</v>
      </c>
    </row>
    <row r="267" spans="1:29" ht="22.75" customHeight="1" x14ac:dyDescent="0.2">
      <c r="A267" s="1274"/>
      <c r="B267" s="1276"/>
      <c r="C267" s="1276"/>
      <c r="D267" s="1297"/>
      <c r="E267" s="1276"/>
      <c r="F267" s="1276"/>
      <c r="G267" s="1299"/>
      <c r="H267" s="1301"/>
      <c r="I267" s="216" t="s">
        <v>73</v>
      </c>
      <c r="J267" s="217">
        <f t="shared" si="185"/>
        <v>351846000</v>
      </c>
      <c r="K267" s="184">
        <f t="shared" si="194"/>
        <v>116500000</v>
      </c>
      <c r="L267" s="185">
        <f t="shared" si="194"/>
        <v>81500000</v>
      </c>
      <c r="M267" s="185">
        <f t="shared" si="194"/>
        <v>64500000</v>
      </c>
      <c r="N267" s="186">
        <f t="shared" si="194"/>
        <v>89346000</v>
      </c>
      <c r="O267" s="218">
        <f t="shared" si="172"/>
        <v>0</v>
      </c>
      <c r="P267" s="188">
        <f t="shared" si="195"/>
        <v>0</v>
      </c>
      <c r="Q267" s="189">
        <f t="shared" si="195"/>
        <v>0</v>
      </c>
      <c r="R267" s="189">
        <f t="shared" si="195"/>
        <v>0</v>
      </c>
      <c r="S267" s="190">
        <f t="shared" si="195"/>
        <v>0</v>
      </c>
      <c r="T267" s="219">
        <f t="shared" si="167"/>
        <v>351846000</v>
      </c>
      <c r="U267" s="192">
        <f t="shared" si="196"/>
        <v>116500000</v>
      </c>
      <c r="V267" s="193">
        <f t="shared" si="196"/>
        <v>81500000</v>
      </c>
      <c r="W267" s="193">
        <f t="shared" si="196"/>
        <v>64500000</v>
      </c>
      <c r="X267" s="194">
        <f t="shared" si="196"/>
        <v>89346000</v>
      </c>
      <c r="Y267" s="220">
        <f t="shared" si="169"/>
        <v>0</v>
      </c>
      <c r="Z267" s="196">
        <f t="shared" si="197"/>
        <v>0</v>
      </c>
      <c r="AA267" s="197">
        <f t="shared" si="197"/>
        <v>0</v>
      </c>
      <c r="AB267" s="197">
        <f t="shared" si="197"/>
        <v>0</v>
      </c>
      <c r="AC267" s="198">
        <f t="shared" si="197"/>
        <v>0</v>
      </c>
    </row>
    <row r="268" spans="1:29" ht="19.5" customHeight="1" x14ac:dyDescent="0.2">
      <c r="A268" s="1273"/>
      <c r="B268" s="1275"/>
      <c r="C268" s="1275"/>
      <c r="D268" s="1292" t="s">
        <v>85</v>
      </c>
      <c r="E268" s="1275"/>
      <c r="F268" s="1275"/>
      <c r="G268" s="1279" t="s">
        <v>86</v>
      </c>
      <c r="H268" s="1281" t="s">
        <v>87</v>
      </c>
      <c r="I268" s="221" t="s">
        <v>72</v>
      </c>
      <c r="J268" s="200">
        <f t="shared" si="185"/>
        <v>1172746000</v>
      </c>
      <c r="K268" s="201">
        <f t="shared" ref="K268:N269" si="198">K390</f>
        <v>1172746000</v>
      </c>
      <c r="L268" s="202">
        <f t="shared" si="198"/>
        <v>0</v>
      </c>
      <c r="M268" s="202">
        <f t="shared" si="198"/>
        <v>0</v>
      </c>
      <c r="N268" s="203">
        <f t="shared" si="198"/>
        <v>0</v>
      </c>
      <c r="O268" s="204">
        <f t="shared" si="172"/>
        <v>1172689000</v>
      </c>
      <c r="P268" s="205">
        <f t="shared" ref="P268:S269" si="199">P390</f>
        <v>1172689000</v>
      </c>
      <c r="Q268" s="206">
        <f t="shared" si="199"/>
        <v>0</v>
      </c>
      <c r="R268" s="206">
        <f t="shared" si="199"/>
        <v>0</v>
      </c>
      <c r="S268" s="207">
        <f t="shared" si="199"/>
        <v>0</v>
      </c>
      <c r="T268" s="208">
        <f t="shared" si="167"/>
        <v>0</v>
      </c>
      <c r="U268" s="209">
        <f t="shared" ref="U268:X269" si="200">U390</f>
        <v>0</v>
      </c>
      <c r="V268" s="210">
        <f t="shared" si="200"/>
        <v>0</v>
      </c>
      <c r="W268" s="210">
        <f t="shared" si="200"/>
        <v>0</v>
      </c>
      <c r="X268" s="211">
        <f t="shared" si="200"/>
        <v>0</v>
      </c>
      <c r="Y268" s="212">
        <f t="shared" si="169"/>
        <v>57000</v>
      </c>
      <c r="Z268" s="213">
        <f t="shared" ref="Z268:AC269" si="201">Z390</f>
        <v>57000</v>
      </c>
      <c r="AA268" s="214">
        <f t="shared" si="201"/>
        <v>0</v>
      </c>
      <c r="AB268" s="214">
        <f t="shared" si="201"/>
        <v>0</v>
      </c>
      <c r="AC268" s="215">
        <f t="shared" si="201"/>
        <v>0</v>
      </c>
    </row>
    <row r="269" spans="1:29" ht="19.5" customHeight="1" x14ac:dyDescent="0.2">
      <c r="A269" s="1274"/>
      <c r="B269" s="1276"/>
      <c r="C269" s="1276"/>
      <c r="D269" s="1293"/>
      <c r="E269" s="1276"/>
      <c r="F269" s="1276"/>
      <c r="G269" s="1280"/>
      <c r="H269" s="1272"/>
      <c r="I269" s="216" t="s">
        <v>73</v>
      </c>
      <c r="J269" s="217">
        <f t="shared" si="185"/>
        <v>61898000</v>
      </c>
      <c r="K269" s="184">
        <f t="shared" si="198"/>
        <v>18401000</v>
      </c>
      <c r="L269" s="185">
        <f t="shared" si="198"/>
        <v>15589000</v>
      </c>
      <c r="M269" s="185">
        <f t="shared" si="198"/>
        <v>19661000</v>
      </c>
      <c r="N269" s="186">
        <f t="shared" si="198"/>
        <v>8247000</v>
      </c>
      <c r="O269" s="218">
        <f t="shared" si="172"/>
        <v>61800000</v>
      </c>
      <c r="P269" s="188">
        <f t="shared" si="199"/>
        <v>18303000</v>
      </c>
      <c r="Q269" s="189">
        <f t="shared" si="199"/>
        <v>15589000</v>
      </c>
      <c r="R269" s="189">
        <f t="shared" si="199"/>
        <v>19661000</v>
      </c>
      <c r="S269" s="190">
        <f t="shared" si="199"/>
        <v>8247000</v>
      </c>
      <c r="T269" s="219">
        <f t="shared" si="167"/>
        <v>0</v>
      </c>
      <c r="U269" s="192">
        <f t="shared" si="200"/>
        <v>0</v>
      </c>
      <c r="V269" s="193">
        <f t="shared" si="200"/>
        <v>0</v>
      </c>
      <c r="W269" s="193">
        <f t="shared" si="200"/>
        <v>0</v>
      </c>
      <c r="X269" s="194">
        <f t="shared" si="200"/>
        <v>0</v>
      </c>
      <c r="Y269" s="220">
        <f t="shared" si="169"/>
        <v>98000</v>
      </c>
      <c r="Z269" s="196">
        <f t="shared" si="201"/>
        <v>98000</v>
      </c>
      <c r="AA269" s="197">
        <f t="shared" si="201"/>
        <v>0</v>
      </c>
      <c r="AB269" s="197">
        <f t="shared" si="201"/>
        <v>0</v>
      </c>
      <c r="AC269" s="198">
        <f t="shared" si="201"/>
        <v>0</v>
      </c>
    </row>
    <row r="270" spans="1:29" ht="15" customHeight="1" x14ac:dyDescent="0.2">
      <c r="A270" s="1273"/>
      <c r="B270" s="1275"/>
      <c r="C270" s="1275"/>
      <c r="D270" s="1292" t="s">
        <v>88</v>
      </c>
      <c r="E270" s="1275"/>
      <c r="F270" s="1275"/>
      <c r="G270" s="1279" t="s">
        <v>89</v>
      </c>
      <c r="H270" s="1294" t="s">
        <v>90</v>
      </c>
      <c r="I270" s="221" t="s">
        <v>72</v>
      </c>
      <c r="J270" s="200">
        <f t="shared" si="185"/>
        <v>4300000</v>
      </c>
      <c r="K270" s="201">
        <f t="shared" ref="K270:N271" si="202">K408</f>
        <v>3800000</v>
      </c>
      <c r="L270" s="202">
        <f t="shared" si="202"/>
        <v>0</v>
      </c>
      <c r="M270" s="202">
        <f t="shared" si="202"/>
        <v>500000</v>
      </c>
      <c r="N270" s="203">
        <f t="shared" si="202"/>
        <v>0</v>
      </c>
      <c r="O270" s="204">
        <f t="shared" si="172"/>
        <v>0</v>
      </c>
      <c r="P270" s="205">
        <f t="shared" ref="P270:S271" si="203">P408</f>
        <v>0</v>
      </c>
      <c r="Q270" s="206">
        <f t="shared" si="203"/>
        <v>0</v>
      </c>
      <c r="R270" s="206">
        <f t="shared" si="203"/>
        <v>0</v>
      </c>
      <c r="S270" s="207">
        <f t="shared" si="203"/>
        <v>0</v>
      </c>
      <c r="T270" s="208">
        <f t="shared" si="167"/>
        <v>700000</v>
      </c>
      <c r="U270" s="209">
        <f t="shared" ref="U270:X271" si="204">U408</f>
        <v>700000</v>
      </c>
      <c r="V270" s="210">
        <f t="shared" si="204"/>
        <v>0</v>
      </c>
      <c r="W270" s="210">
        <f t="shared" si="204"/>
        <v>0</v>
      </c>
      <c r="X270" s="211">
        <f t="shared" si="204"/>
        <v>0</v>
      </c>
      <c r="Y270" s="212">
        <f t="shared" si="169"/>
        <v>3600000</v>
      </c>
      <c r="Z270" s="213">
        <f t="shared" ref="Z270:AC271" si="205">Z408</f>
        <v>3100000</v>
      </c>
      <c r="AA270" s="214">
        <f t="shared" si="205"/>
        <v>0</v>
      </c>
      <c r="AB270" s="214">
        <f t="shared" si="205"/>
        <v>500000</v>
      </c>
      <c r="AC270" s="215">
        <f t="shared" si="205"/>
        <v>0</v>
      </c>
    </row>
    <row r="271" spans="1:29" ht="15.75" customHeight="1" x14ac:dyDescent="0.2">
      <c r="A271" s="1274"/>
      <c r="B271" s="1276"/>
      <c r="C271" s="1276"/>
      <c r="D271" s="1293"/>
      <c r="E271" s="1276"/>
      <c r="F271" s="1276"/>
      <c r="G271" s="1280"/>
      <c r="H271" s="1295"/>
      <c r="I271" s="216" t="s">
        <v>73</v>
      </c>
      <c r="J271" s="217">
        <f t="shared" si="185"/>
        <v>4300000</v>
      </c>
      <c r="K271" s="184">
        <f t="shared" si="202"/>
        <v>1920000</v>
      </c>
      <c r="L271" s="185">
        <f t="shared" si="202"/>
        <v>640000</v>
      </c>
      <c r="M271" s="185">
        <f t="shared" si="202"/>
        <v>1130000</v>
      </c>
      <c r="N271" s="186">
        <f t="shared" si="202"/>
        <v>610000</v>
      </c>
      <c r="O271" s="218">
        <f t="shared" si="172"/>
        <v>0</v>
      </c>
      <c r="P271" s="188">
        <f t="shared" si="203"/>
        <v>0</v>
      </c>
      <c r="Q271" s="189">
        <f t="shared" si="203"/>
        <v>0</v>
      </c>
      <c r="R271" s="189">
        <f t="shared" si="203"/>
        <v>0</v>
      </c>
      <c r="S271" s="190">
        <f t="shared" si="203"/>
        <v>0</v>
      </c>
      <c r="T271" s="219">
        <f t="shared" si="167"/>
        <v>700000</v>
      </c>
      <c r="U271" s="192">
        <f t="shared" si="204"/>
        <v>700000</v>
      </c>
      <c r="V271" s="193">
        <f t="shared" si="204"/>
        <v>0</v>
      </c>
      <c r="W271" s="193">
        <f t="shared" si="204"/>
        <v>0</v>
      </c>
      <c r="X271" s="194">
        <f t="shared" si="204"/>
        <v>0</v>
      </c>
      <c r="Y271" s="220">
        <f t="shared" si="169"/>
        <v>3600000</v>
      </c>
      <c r="Z271" s="196">
        <f t="shared" si="205"/>
        <v>1220000</v>
      </c>
      <c r="AA271" s="197">
        <f t="shared" si="205"/>
        <v>640000</v>
      </c>
      <c r="AB271" s="197">
        <f t="shared" si="205"/>
        <v>1130000</v>
      </c>
      <c r="AC271" s="198">
        <f t="shared" si="205"/>
        <v>610000</v>
      </c>
    </row>
    <row r="272" spans="1:29" ht="15.75" customHeight="1" x14ac:dyDescent="0.2">
      <c r="A272" s="1273"/>
      <c r="B272" s="1275"/>
      <c r="C272" s="1275"/>
      <c r="D272" s="1277" t="s">
        <v>91</v>
      </c>
      <c r="E272" s="1275"/>
      <c r="F272" s="1275"/>
      <c r="G272" s="1305" t="s">
        <v>92</v>
      </c>
      <c r="H272" s="1281" t="s">
        <v>93</v>
      </c>
      <c r="I272" s="221" t="s">
        <v>72</v>
      </c>
      <c r="J272" s="200">
        <f t="shared" si="185"/>
        <v>14959000</v>
      </c>
      <c r="K272" s="201">
        <f t="shared" ref="K272:N275" si="206">K416</f>
        <v>8380000</v>
      </c>
      <c r="L272" s="202">
        <f t="shared" si="206"/>
        <v>0</v>
      </c>
      <c r="M272" s="202">
        <f t="shared" si="206"/>
        <v>4969000</v>
      </c>
      <c r="N272" s="203">
        <f t="shared" si="206"/>
        <v>1610000</v>
      </c>
      <c r="O272" s="204">
        <f t="shared" si="172"/>
        <v>0</v>
      </c>
      <c r="P272" s="205">
        <f t="shared" ref="P272:S275" si="207">P416</f>
        <v>0</v>
      </c>
      <c r="Q272" s="206">
        <f t="shared" si="207"/>
        <v>0</v>
      </c>
      <c r="R272" s="206">
        <f t="shared" si="207"/>
        <v>0</v>
      </c>
      <c r="S272" s="207">
        <f t="shared" si="207"/>
        <v>0</v>
      </c>
      <c r="T272" s="208">
        <f t="shared" si="167"/>
        <v>1416000</v>
      </c>
      <c r="U272" s="209">
        <f t="shared" ref="U272:X275" si="208">U416</f>
        <v>1416000</v>
      </c>
      <c r="V272" s="210">
        <f t="shared" si="208"/>
        <v>0</v>
      </c>
      <c r="W272" s="210">
        <f t="shared" si="208"/>
        <v>0</v>
      </c>
      <c r="X272" s="211">
        <f t="shared" si="208"/>
        <v>0</v>
      </c>
      <c r="Y272" s="212">
        <f t="shared" si="169"/>
        <v>13543000</v>
      </c>
      <c r="Z272" s="213">
        <f t="shared" ref="Z272:AC275" si="209">Z416</f>
        <v>6964000</v>
      </c>
      <c r="AA272" s="214">
        <f t="shared" si="209"/>
        <v>0</v>
      </c>
      <c r="AB272" s="214">
        <f t="shared" si="209"/>
        <v>4969000</v>
      </c>
      <c r="AC272" s="215">
        <f t="shared" si="209"/>
        <v>1610000</v>
      </c>
    </row>
    <row r="273" spans="1:29" ht="15.75" customHeight="1" x14ac:dyDescent="0.2">
      <c r="A273" s="1274"/>
      <c r="B273" s="1276"/>
      <c r="C273" s="1276"/>
      <c r="D273" s="1278"/>
      <c r="E273" s="1276"/>
      <c r="F273" s="1276"/>
      <c r="G273" s="1270"/>
      <c r="H273" s="1272"/>
      <c r="I273" s="216" t="s">
        <v>73</v>
      </c>
      <c r="J273" s="217">
        <f t="shared" si="185"/>
        <v>19972000</v>
      </c>
      <c r="K273" s="184">
        <f t="shared" si="206"/>
        <v>6682000</v>
      </c>
      <c r="L273" s="185">
        <f t="shared" si="206"/>
        <v>4494000</v>
      </c>
      <c r="M273" s="185">
        <f t="shared" si="206"/>
        <v>7420000</v>
      </c>
      <c r="N273" s="186">
        <f t="shared" si="206"/>
        <v>1376000</v>
      </c>
      <c r="O273" s="218">
        <f t="shared" si="172"/>
        <v>0</v>
      </c>
      <c r="P273" s="188">
        <f t="shared" si="207"/>
        <v>0</v>
      </c>
      <c r="Q273" s="189">
        <f t="shared" si="207"/>
        <v>0</v>
      </c>
      <c r="R273" s="189">
        <f t="shared" si="207"/>
        <v>0</v>
      </c>
      <c r="S273" s="190">
        <f t="shared" si="207"/>
        <v>0</v>
      </c>
      <c r="T273" s="219">
        <f t="shared" si="167"/>
        <v>1416000</v>
      </c>
      <c r="U273" s="192">
        <f t="shared" si="208"/>
        <v>152000</v>
      </c>
      <c r="V273" s="193">
        <f t="shared" si="208"/>
        <v>1264000</v>
      </c>
      <c r="W273" s="193">
        <f t="shared" si="208"/>
        <v>0</v>
      </c>
      <c r="X273" s="194">
        <f t="shared" si="208"/>
        <v>0</v>
      </c>
      <c r="Y273" s="220">
        <f t="shared" si="169"/>
        <v>18556000</v>
      </c>
      <c r="Z273" s="196">
        <f t="shared" si="209"/>
        <v>6530000</v>
      </c>
      <c r="AA273" s="197">
        <f t="shared" si="209"/>
        <v>3230000</v>
      </c>
      <c r="AB273" s="197">
        <f t="shared" si="209"/>
        <v>7420000</v>
      </c>
      <c r="AC273" s="198">
        <f t="shared" si="209"/>
        <v>1376000</v>
      </c>
    </row>
    <row r="274" spans="1:29" x14ac:dyDescent="0.2">
      <c r="A274" s="1273"/>
      <c r="B274" s="1275"/>
      <c r="C274" s="1275"/>
      <c r="D274" s="1277" t="s">
        <v>94</v>
      </c>
      <c r="E274" s="1275"/>
      <c r="F274" s="1275"/>
      <c r="G274" s="1279" t="s">
        <v>95</v>
      </c>
      <c r="H274" s="1281" t="s">
        <v>96</v>
      </c>
      <c r="I274" s="221" t="s">
        <v>72</v>
      </c>
      <c r="J274" s="222">
        <f t="shared" si="185"/>
        <v>14959000</v>
      </c>
      <c r="K274" s="223">
        <f t="shared" si="206"/>
        <v>8380000</v>
      </c>
      <c r="L274" s="224">
        <f t="shared" si="206"/>
        <v>0</v>
      </c>
      <c r="M274" s="224">
        <f t="shared" si="206"/>
        <v>4969000</v>
      </c>
      <c r="N274" s="225">
        <f t="shared" si="206"/>
        <v>1610000</v>
      </c>
      <c r="O274" s="226">
        <f t="shared" si="172"/>
        <v>0</v>
      </c>
      <c r="P274" s="227">
        <f t="shared" si="207"/>
        <v>0</v>
      </c>
      <c r="Q274" s="228">
        <f t="shared" si="207"/>
        <v>0</v>
      </c>
      <c r="R274" s="228">
        <f t="shared" si="207"/>
        <v>0</v>
      </c>
      <c r="S274" s="229">
        <f t="shared" si="207"/>
        <v>0</v>
      </c>
      <c r="T274" s="230">
        <f t="shared" si="167"/>
        <v>1416000</v>
      </c>
      <c r="U274" s="231">
        <f t="shared" si="208"/>
        <v>1416000</v>
      </c>
      <c r="V274" s="232">
        <f t="shared" si="208"/>
        <v>0</v>
      </c>
      <c r="W274" s="232">
        <f t="shared" si="208"/>
        <v>0</v>
      </c>
      <c r="X274" s="233">
        <f t="shared" si="208"/>
        <v>0</v>
      </c>
      <c r="Y274" s="234">
        <f t="shared" si="169"/>
        <v>13543000</v>
      </c>
      <c r="Z274" s="235">
        <f t="shared" si="209"/>
        <v>6964000</v>
      </c>
      <c r="AA274" s="236">
        <f t="shared" si="209"/>
        <v>0</v>
      </c>
      <c r="AB274" s="236">
        <f t="shared" si="209"/>
        <v>4969000</v>
      </c>
      <c r="AC274" s="237">
        <f t="shared" si="209"/>
        <v>1610000</v>
      </c>
    </row>
    <row r="275" spans="1:29" ht="16" thickBot="1" x14ac:dyDescent="0.25">
      <c r="A275" s="1306"/>
      <c r="B275" s="1307"/>
      <c r="C275" s="1307"/>
      <c r="D275" s="1304"/>
      <c r="E275" s="1307"/>
      <c r="F275" s="1307"/>
      <c r="G275" s="1290"/>
      <c r="H275" s="1291"/>
      <c r="I275" s="182" t="s">
        <v>73</v>
      </c>
      <c r="J275" s="238">
        <f t="shared" si="185"/>
        <v>19972000</v>
      </c>
      <c r="K275" s="239">
        <f t="shared" si="206"/>
        <v>6682000</v>
      </c>
      <c r="L275" s="240">
        <f t="shared" si="206"/>
        <v>4494000</v>
      </c>
      <c r="M275" s="240">
        <f t="shared" si="206"/>
        <v>7420000</v>
      </c>
      <c r="N275" s="241">
        <f t="shared" si="206"/>
        <v>1376000</v>
      </c>
      <c r="O275" s="242">
        <f t="shared" si="172"/>
        <v>0</v>
      </c>
      <c r="P275" s="243">
        <f t="shared" si="207"/>
        <v>0</v>
      </c>
      <c r="Q275" s="244">
        <f t="shared" si="207"/>
        <v>0</v>
      </c>
      <c r="R275" s="244">
        <f t="shared" si="207"/>
        <v>0</v>
      </c>
      <c r="S275" s="245">
        <f t="shared" si="207"/>
        <v>0</v>
      </c>
      <c r="T275" s="174">
        <f t="shared" si="167"/>
        <v>1416000</v>
      </c>
      <c r="U275" s="246">
        <f t="shared" si="208"/>
        <v>152000</v>
      </c>
      <c r="V275" s="247">
        <f t="shared" si="208"/>
        <v>1264000</v>
      </c>
      <c r="W275" s="247">
        <f t="shared" si="208"/>
        <v>0</v>
      </c>
      <c r="X275" s="248">
        <f t="shared" si="208"/>
        <v>0</v>
      </c>
      <c r="Y275" s="765">
        <f t="shared" si="169"/>
        <v>18556000</v>
      </c>
      <c r="Z275" s="250">
        <f t="shared" si="209"/>
        <v>6530000</v>
      </c>
      <c r="AA275" s="251">
        <f t="shared" si="209"/>
        <v>3230000</v>
      </c>
      <c r="AB275" s="251">
        <f t="shared" si="209"/>
        <v>7420000</v>
      </c>
      <c r="AC275" s="252">
        <f t="shared" si="209"/>
        <v>1376000</v>
      </c>
    </row>
    <row r="276" spans="1:29" x14ac:dyDescent="0.2">
      <c r="A276" s="1302" t="s">
        <v>97</v>
      </c>
      <c r="B276" s="1284" t="s">
        <v>74</v>
      </c>
      <c r="C276" s="1284" t="s">
        <v>66</v>
      </c>
      <c r="D276" s="1287"/>
      <c r="E276" s="1287"/>
      <c r="F276" s="1287"/>
      <c r="G276" s="1289" t="s">
        <v>98</v>
      </c>
      <c r="H276" s="1271" t="s">
        <v>99</v>
      </c>
      <c r="I276" s="147" t="s">
        <v>72</v>
      </c>
      <c r="J276" s="148">
        <f t="shared" si="185"/>
        <v>2295620000</v>
      </c>
      <c r="K276" s="149">
        <f t="shared" ref="K276:N277" si="210">K278+K416</f>
        <v>2288541000</v>
      </c>
      <c r="L276" s="150">
        <f t="shared" si="210"/>
        <v>0</v>
      </c>
      <c r="M276" s="150">
        <f t="shared" si="210"/>
        <v>5469000</v>
      </c>
      <c r="N276" s="151">
        <f t="shared" si="210"/>
        <v>1610000</v>
      </c>
      <c r="O276" s="152">
        <f t="shared" si="172"/>
        <v>1172689000</v>
      </c>
      <c r="P276" s="153">
        <f t="shared" ref="P276:S277" si="211">P278+P416</f>
        <v>1172689000</v>
      </c>
      <c r="Q276" s="154">
        <f t="shared" si="211"/>
        <v>0</v>
      </c>
      <c r="R276" s="154">
        <f t="shared" si="211"/>
        <v>0</v>
      </c>
      <c r="S276" s="155">
        <f t="shared" si="211"/>
        <v>0</v>
      </c>
      <c r="T276" s="156">
        <f t="shared" si="167"/>
        <v>694794000</v>
      </c>
      <c r="U276" s="157">
        <f t="shared" ref="U276:X277" si="212">U278+U416</f>
        <v>694794000</v>
      </c>
      <c r="V276" s="158">
        <f t="shared" si="212"/>
        <v>0</v>
      </c>
      <c r="W276" s="158">
        <f t="shared" si="212"/>
        <v>0</v>
      </c>
      <c r="X276" s="159">
        <f t="shared" si="212"/>
        <v>0</v>
      </c>
      <c r="Y276" s="160">
        <f t="shared" si="169"/>
        <v>428137000</v>
      </c>
      <c r="Z276" s="161">
        <f t="shared" ref="Z276:AC277" si="213">Z278+Z416</f>
        <v>421058000</v>
      </c>
      <c r="AA276" s="162">
        <f t="shared" si="213"/>
        <v>0</v>
      </c>
      <c r="AB276" s="162">
        <f t="shared" si="213"/>
        <v>5469000</v>
      </c>
      <c r="AC276" s="163">
        <f t="shared" si="213"/>
        <v>1610000</v>
      </c>
    </row>
    <row r="277" spans="1:29" ht="16" thickBot="1" x14ac:dyDescent="0.25">
      <c r="A277" s="1303"/>
      <c r="B277" s="1304"/>
      <c r="C277" s="1304"/>
      <c r="D277" s="1288"/>
      <c r="E277" s="1288"/>
      <c r="F277" s="1288"/>
      <c r="G277" s="1290"/>
      <c r="H277" s="1291"/>
      <c r="I277" s="165" t="s">
        <v>73</v>
      </c>
      <c r="J277" s="166">
        <f t="shared" si="185"/>
        <v>1048777000</v>
      </c>
      <c r="K277" s="167">
        <f t="shared" si="210"/>
        <v>330242000</v>
      </c>
      <c r="L277" s="168">
        <f t="shared" si="210"/>
        <v>251100000</v>
      </c>
      <c r="M277" s="168">
        <f t="shared" si="210"/>
        <v>237253000</v>
      </c>
      <c r="N277" s="169">
        <f t="shared" si="210"/>
        <v>230182000</v>
      </c>
      <c r="O277" s="170">
        <f t="shared" si="172"/>
        <v>61800000</v>
      </c>
      <c r="P277" s="171">
        <f t="shared" si="211"/>
        <v>18303000</v>
      </c>
      <c r="Q277" s="172">
        <f t="shared" si="211"/>
        <v>15589000</v>
      </c>
      <c r="R277" s="172">
        <f t="shared" si="211"/>
        <v>19661000</v>
      </c>
      <c r="S277" s="173">
        <f t="shared" si="211"/>
        <v>8247000</v>
      </c>
      <c r="T277" s="174">
        <f t="shared" si="167"/>
        <v>553786000</v>
      </c>
      <c r="U277" s="175">
        <f t="shared" si="212"/>
        <v>182598000</v>
      </c>
      <c r="V277" s="176">
        <f t="shared" si="212"/>
        <v>128840000</v>
      </c>
      <c r="W277" s="176">
        <f t="shared" si="212"/>
        <v>109902000</v>
      </c>
      <c r="X277" s="177">
        <f t="shared" si="212"/>
        <v>132446000</v>
      </c>
      <c r="Y277" s="178">
        <f t="shared" si="169"/>
        <v>433191000</v>
      </c>
      <c r="Z277" s="179">
        <f t="shared" si="213"/>
        <v>129341000</v>
      </c>
      <c r="AA277" s="180">
        <f t="shared" si="213"/>
        <v>106671000</v>
      </c>
      <c r="AB277" s="180">
        <f t="shared" si="213"/>
        <v>107690000</v>
      </c>
      <c r="AC277" s="181">
        <f t="shared" si="213"/>
        <v>89489000</v>
      </c>
    </row>
    <row r="278" spans="1:29" x14ac:dyDescent="0.2">
      <c r="A278" s="1282"/>
      <c r="B278" s="1283"/>
      <c r="C278" s="1283"/>
      <c r="D278" s="1284" t="s">
        <v>74</v>
      </c>
      <c r="E278" s="1283"/>
      <c r="F278" s="1283"/>
      <c r="G278" s="1269" t="s">
        <v>75</v>
      </c>
      <c r="H278" s="1271" t="s">
        <v>74</v>
      </c>
      <c r="I278" s="221" t="s">
        <v>72</v>
      </c>
      <c r="J278" s="148">
        <f t="shared" si="185"/>
        <v>2280661000</v>
      </c>
      <c r="K278" s="149">
        <f t="shared" ref="K278:N279" si="214">K280+K326+K384+K390+K408</f>
        <v>2280161000</v>
      </c>
      <c r="L278" s="150">
        <f t="shared" si="214"/>
        <v>0</v>
      </c>
      <c r="M278" s="150">
        <f t="shared" si="214"/>
        <v>500000</v>
      </c>
      <c r="N278" s="151">
        <f t="shared" si="214"/>
        <v>0</v>
      </c>
      <c r="O278" s="152">
        <f t="shared" si="172"/>
        <v>1172689000</v>
      </c>
      <c r="P278" s="153">
        <f t="shared" ref="P278:S279" si="215">P280+P326+P384+P390+P408</f>
        <v>1172689000</v>
      </c>
      <c r="Q278" s="154">
        <f t="shared" si="215"/>
        <v>0</v>
      </c>
      <c r="R278" s="154">
        <f t="shared" si="215"/>
        <v>0</v>
      </c>
      <c r="S278" s="155">
        <f t="shared" si="215"/>
        <v>0</v>
      </c>
      <c r="T278" s="156">
        <f t="shared" si="167"/>
        <v>693378000</v>
      </c>
      <c r="U278" s="157">
        <f t="shared" ref="U278:X279" si="216">U280+U326+U384+U390+U408</f>
        <v>693378000</v>
      </c>
      <c r="V278" s="158">
        <f t="shared" si="216"/>
        <v>0</v>
      </c>
      <c r="W278" s="158">
        <f t="shared" si="216"/>
        <v>0</v>
      </c>
      <c r="X278" s="159">
        <f t="shared" si="216"/>
        <v>0</v>
      </c>
      <c r="Y278" s="160">
        <f t="shared" si="169"/>
        <v>414594000</v>
      </c>
      <c r="Z278" s="161">
        <f t="shared" ref="Z278:AC279" si="217">Z280+Z326+Z384+Z390+Z408</f>
        <v>414094000</v>
      </c>
      <c r="AA278" s="162">
        <f t="shared" si="217"/>
        <v>0</v>
      </c>
      <c r="AB278" s="162">
        <f t="shared" si="217"/>
        <v>500000</v>
      </c>
      <c r="AC278" s="163">
        <f t="shared" si="217"/>
        <v>0</v>
      </c>
    </row>
    <row r="279" spans="1:29" x14ac:dyDescent="0.2">
      <c r="A279" s="1274"/>
      <c r="B279" s="1276"/>
      <c r="C279" s="1276"/>
      <c r="D279" s="1278"/>
      <c r="E279" s="1276"/>
      <c r="F279" s="1276"/>
      <c r="G279" s="1270"/>
      <c r="H279" s="1272"/>
      <c r="I279" s="216" t="s">
        <v>73</v>
      </c>
      <c r="J279" s="183">
        <f t="shared" si="185"/>
        <v>1028805000</v>
      </c>
      <c r="K279" s="184">
        <f t="shared" si="214"/>
        <v>323560000</v>
      </c>
      <c r="L279" s="185">
        <f t="shared" si="214"/>
        <v>246606000</v>
      </c>
      <c r="M279" s="185">
        <f t="shared" si="214"/>
        <v>229833000</v>
      </c>
      <c r="N279" s="186">
        <f t="shared" si="214"/>
        <v>228806000</v>
      </c>
      <c r="O279" s="187">
        <f t="shared" si="172"/>
        <v>61800000</v>
      </c>
      <c r="P279" s="188">
        <f t="shared" si="215"/>
        <v>18303000</v>
      </c>
      <c r="Q279" s="189">
        <f t="shared" si="215"/>
        <v>15589000</v>
      </c>
      <c r="R279" s="189">
        <f t="shared" si="215"/>
        <v>19661000</v>
      </c>
      <c r="S279" s="190">
        <f t="shared" si="215"/>
        <v>8247000</v>
      </c>
      <c r="T279" s="191">
        <f t="shared" si="167"/>
        <v>552370000</v>
      </c>
      <c r="U279" s="192">
        <f t="shared" si="216"/>
        <v>182446000</v>
      </c>
      <c r="V279" s="193">
        <f t="shared" si="216"/>
        <v>127576000</v>
      </c>
      <c r="W279" s="193">
        <f t="shared" si="216"/>
        <v>109902000</v>
      </c>
      <c r="X279" s="194">
        <f t="shared" si="216"/>
        <v>132446000</v>
      </c>
      <c r="Y279" s="195">
        <f t="shared" si="169"/>
        <v>414635000</v>
      </c>
      <c r="Z279" s="196">
        <f t="shared" si="217"/>
        <v>122811000</v>
      </c>
      <c r="AA279" s="197">
        <f t="shared" si="217"/>
        <v>103441000</v>
      </c>
      <c r="AB279" s="197">
        <f t="shared" si="217"/>
        <v>100270000</v>
      </c>
      <c r="AC279" s="198">
        <f t="shared" si="217"/>
        <v>88113000</v>
      </c>
    </row>
    <row r="280" spans="1:29" x14ac:dyDescent="0.2">
      <c r="A280" s="1312"/>
      <c r="B280" s="1275"/>
      <c r="C280" s="1275"/>
      <c r="D280" s="1277" t="s">
        <v>33</v>
      </c>
      <c r="E280" s="1275"/>
      <c r="F280" s="1275"/>
      <c r="G280" s="1279" t="s">
        <v>77</v>
      </c>
      <c r="H280" s="1316" t="s">
        <v>33</v>
      </c>
      <c r="I280" s="221" t="s">
        <v>72</v>
      </c>
      <c r="J280" s="200">
        <f t="shared" si="185"/>
        <v>394837000</v>
      </c>
      <c r="K280" s="255">
        <f t="shared" ref="K280:N281" si="218">K282+K306+K312</f>
        <v>394837000</v>
      </c>
      <c r="L280" s="256">
        <f t="shared" si="218"/>
        <v>0</v>
      </c>
      <c r="M280" s="256">
        <f t="shared" si="218"/>
        <v>0</v>
      </c>
      <c r="N280" s="257">
        <f t="shared" si="218"/>
        <v>0</v>
      </c>
      <c r="O280" s="204">
        <f t="shared" si="172"/>
        <v>0</v>
      </c>
      <c r="P280" s="258">
        <f t="shared" ref="P280:S281" si="219">P282+P306+P312</f>
        <v>0</v>
      </c>
      <c r="Q280" s="259">
        <f t="shared" si="219"/>
        <v>0</v>
      </c>
      <c r="R280" s="259">
        <f t="shared" si="219"/>
        <v>0</v>
      </c>
      <c r="S280" s="260">
        <f t="shared" si="219"/>
        <v>0</v>
      </c>
      <c r="T280" s="208">
        <f t="shared" si="167"/>
        <v>59000000</v>
      </c>
      <c r="U280" s="261">
        <f t="shared" ref="U280:X281" si="220">U282+U306+U312</f>
        <v>59000000</v>
      </c>
      <c r="V280" s="262">
        <f t="shared" si="220"/>
        <v>0</v>
      </c>
      <c r="W280" s="262">
        <f t="shared" si="220"/>
        <v>0</v>
      </c>
      <c r="X280" s="263">
        <f t="shared" si="220"/>
        <v>0</v>
      </c>
      <c r="Y280" s="212">
        <f t="shared" si="169"/>
        <v>335837000</v>
      </c>
      <c r="Z280" s="264">
        <f t="shared" ref="Z280:AC281" si="221">Z282+Z306+Z312</f>
        <v>335837000</v>
      </c>
      <c r="AA280" s="265">
        <f t="shared" si="221"/>
        <v>0</v>
      </c>
      <c r="AB280" s="265">
        <f t="shared" si="221"/>
        <v>0</v>
      </c>
      <c r="AC280" s="266">
        <f t="shared" si="221"/>
        <v>0</v>
      </c>
    </row>
    <row r="281" spans="1:29" x14ac:dyDescent="0.2">
      <c r="A281" s="1313"/>
      <c r="B281" s="1276"/>
      <c r="C281" s="1276"/>
      <c r="D281" s="1278"/>
      <c r="E281" s="1276"/>
      <c r="F281" s="1276"/>
      <c r="G281" s="1280"/>
      <c r="H281" s="1317"/>
      <c r="I281" s="216" t="s">
        <v>73</v>
      </c>
      <c r="J281" s="217">
        <f t="shared" si="185"/>
        <v>394837000</v>
      </c>
      <c r="K281" s="267">
        <f t="shared" si="218"/>
        <v>110124000</v>
      </c>
      <c r="L281" s="268">
        <f t="shared" si="218"/>
        <v>100454000</v>
      </c>
      <c r="M281" s="268">
        <f t="shared" si="218"/>
        <v>99415000</v>
      </c>
      <c r="N281" s="269">
        <f t="shared" si="218"/>
        <v>84844000</v>
      </c>
      <c r="O281" s="218">
        <f t="shared" si="172"/>
        <v>0</v>
      </c>
      <c r="P281" s="270">
        <f t="shared" si="219"/>
        <v>0</v>
      </c>
      <c r="Q281" s="271">
        <f t="shared" si="219"/>
        <v>0</v>
      </c>
      <c r="R281" s="271">
        <f t="shared" si="219"/>
        <v>0</v>
      </c>
      <c r="S281" s="272">
        <f t="shared" si="219"/>
        <v>0</v>
      </c>
      <c r="T281" s="219">
        <f t="shared" si="167"/>
        <v>59000000</v>
      </c>
      <c r="U281" s="273">
        <f t="shared" si="220"/>
        <v>16761000</v>
      </c>
      <c r="V281" s="274">
        <f t="shared" si="220"/>
        <v>15061000</v>
      </c>
      <c r="W281" s="274">
        <f t="shared" si="220"/>
        <v>14797000</v>
      </c>
      <c r="X281" s="275">
        <f t="shared" si="220"/>
        <v>12381000</v>
      </c>
      <c r="Y281" s="220">
        <f t="shared" si="169"/>
        <v>335837000</v>
      </c>
      <c r="Z281" s="276">
        <f t="shared" si="221"/>
        <v>93363000</v>
      </c>
      <c r="AA281" s="277">
        <f t="shared" si="221"/>
        <v>85393000</v>
      </c>
      <c r="AB281" s="277">
        <f t="shared" si="221"/>
        <v>84618000</v>
      </c>
      <c r="AC281" s="278">
        <f t="shared" si="221"/>
        <v>72463000</v>
      </c>
    </row>
    <row r="282" spans="1:29" x14ac:dyDescent="0.2">
      <c r="A282" s="1312"/>
      <c r="B282" s="1275"/>
      <c r="C282" s="1275"/>
      <c r="D282" s="1275"/>
      <c r="E282" s="1277" t="s">
        <v>74</v>
      </c>
      <c r="F282" s="1275"/>
      <c r="G282" s="1318" t="s">
        <v>100</v>
      </c>
      <c r="H282" s="1316" t="s">
        <v>101</v>
      </c>
      <c r="I282" s="221" t="s">
        <v>72</v>
      </c>
      <c r="J282" s="200">
        <f>K282+L282+M282+N282</f>
        <v>355014000</v>
      </c>
      <c r="K282" s="255">
        <f>K284+K286+K288+K290+K292+K294+K296+K298+K300+K302+K304</f>
        <v>355014000</v>
      </c>
      <c r="L282" s="256">
        <f t="shared" ref="L282:N283" si="222">L284+L286+L288+L290+L292+L294+L296+L298+L300+L302+L304</f>
        <v>0</v>
      </c>
      <c r="M282" s="256">
        <f t="shared" si="222"/>
        <v>0</v>
      </c>
      <c r="N282" s="257">
        <f t="shared" si="222"/>
        <v>0</v>
      </c>
      <c r="O282" s="204">
        <f>P282+Q282+R282+S282</f>
        <v>0</v>
      </c>
      <c r="P282" s="258">
        <f t="shared" ref="P282:S283" si="223">P284+P286+P288+P290+P292+P294+P296+P298+P300+P302+P304</f>
        <v>0</v>
      </c>
      <c r="Q282" s="259">
        <f t="shared" si="223"/>
        <v>0</v>
      </c>
      <c r="R282" s="259">
        <f t="shared" si="223"/>
        <v>0</v>
      </c>
      <c r="S282" s="260">
        <f t="shared" si="223"/>
        <v>0</v>
      </c>
      <c r="T282" s="208">
        <f>U282+V282+W282+X282</f>
        <v>52504000</v>
      </c>
      <c r="U282" s="261">
        <f t="shared" ref="U282:X283" si="224">U284+U286+U288+U290+U292+U294+U296+U298+U300+U302+U304</f>
        <v>52504000</v>
      </c>
      <c r="V282" s="262">
        <f t="shared" si="224"/>
        <v>0</v>
      </c>
      <c r="W282" s="262">
        <f t="shared" si="224"/>
        <v>0</v>
      </c>
      <c r="X282" s="263">
        <f t="shared" si="224"/>
        <v>0</v>
      </c>
      <c r="Y282" s="212">
        <f>Z282+AA282+AB282+AC282</f>
        <v>302510000</v>
      </c>
      <c r="Z282" s="264">
        <f t="shared" ref="Z282:AC283" si="225">Z284+Z286+Z288+Z290+Z292+Z294+Z296+Z298+Z300+Z302+Z304</f>
        <v>302510000</v>
      </c>
      <c r="AA282" s="265">
        <f t="shared" si="225"/>
        <v>0</v>
      </c>
      <c r="AB282" s="265">
        <f t="shared" si="225"/>
        <v>0</v>
      </c>
      <c r="AC282" s="266">
        <f t="shared" si="225"/>
        <v>0</v>
      </c>
    </row>
    <row r="283" spans="1:29" x14ac:dyDescent="0.2">
      <c r="A283" s="1313"/>
      <c r="B283" s="1276"/>
      <c r="C283" s="1276"/>
      <c r="D283" s="1276"/>
      <c r="E283" s="1278"/>
      <c r="F283" s="1276"/>
      <c r="G283" s="1319"/>
      <c r="H283" s="1317"/>
      <c r="I283" s="216" t="s">
        <v>73</v>
      </c>
      <c r="J283" s="217">
        <f>K283+L283+M283+N283</f>
        <v>355014000</v>
      </c>
      <c r="K283" s="267">
        <f>K285+K287+K289+K291+K293+K295+K297+K299+K301+K303+K305</f>
        <v>95020000</v>
      </c>
      <c r="L283" s="268">
        <f t="shared" si="222"/>
        <v>91860000</v>
      </c>
      <c r="M283" s="268">
        <f t="shared" si="222"/>
        <v>90901000</v>
      </c>
      <c r="N283" s="269">
        <f t="shared" si="222"/>
        <v>77233000</v>
      </c>
      <c r="O283" s="218">
        <f>P283+Q283+R283+S283</f>
        <v>0</v>
      </c>
      <c r="P283" s="270">
        <f t="shared" si="223"/>
        <v>0</v>
      </c>
      <c r="Q283" s="271">
        <f t="shared" si="223"/>
        <v>0</v>
      </c>
      <c r="R283" s="271">
        <f t="shared" si="223"/>
        <v>0</v>
      </c>
      <c r="S283" s="272">
        <f t="shared" si="223"/>
        <v>0</v>
      </c>
      <c r="T283" s="219">
        <f>U283+V283+W283+X283</f>
        <v>52504000</v>
      </c>
      <c r="U283" s="273">
        <f t="shared" si="224"/>
        <v>14247000</v>
      </c>
      <c r="V283" s="274">
        <f t="shared" si="224"/>
        <v>13647000</v>
      </c>
      <c r="W283" s="274">
        <f t="shared" si="224"/>
        <v>13413000</v>
      </c>
      <c r="X283" s="275">
        <f t="shared" si="224"/>
        <v>11197000</v>
      </c>
      <c r="Y283" s="220">
        <f>Z283+AA283+AB283+AC283</f>
        <v>302510000</v>
      </c>
      <c r="Z283" s="276">
        <f t="shared" si="225"/>
        <v>80773000</v>
      </c>
      <c r="AA283" s="277">
        <f t="shared" si="225"/>
        <v>78213000</v>
      </c>
      <c r="AB283" s="277">
        <f t="shared" si="225"/>
        <v>77488000</v>
      </c>
      <c r="AC283" s="278">
        <f t="shared" si="225"/>
        <v>66036000</v>
      </c>
    </row>
    <row r="284" spans="1:29" x14ac:dyDescent="0.2">
      <c r="A284" s="1312"/>
      <c r="B284" s="1275"/>
      <c r="C284" s="1275"/>
      <c r="D284" s="1275"/>
      <c r="E284" s="1275"/>
      <c r="F284" s="1314" t="s">
        <v>74</v>
      </c>
      <c r="G284" s="1308" t="s">
        <v>102</v>
      </c>
      <c r="H284" s="1310" t="s">
        <v>103</v>
      </c>
      <c r="I284" s="279" t="s">
        <v>72</v>
      </c>
      <c r="J284" s="280">
        <f t="shared" ref="J284:N305" si="226">O284+T284+Y284</f>
        <v>320394000</v>
      </c>
      <c r="K284" s="281">
        <f t="shared" si="226"/>
        <v>320394000</v>
      </c>
      <c r="L284" s="282">
        <f t="shared" si="226"/>
        <v>0</v>
      </c>
      <c r="M284" s="282">
        <f t="shared" si="226"/>
        <v>0</v>
      </c>
      <c r="N284" s="283">
        <f t="shared" si="226"/>
        <v>0</v>
      </c>
      <c r="O284" s="284">
        <f t="shared" ref="O284:O311" si="227">P284+Q284+R284+S284</f>
        <v>0</v>
      </c>
      <c r="P284" s="281"/>
      <c r="Q284" s="282"/>
      <c r="R284" s="282"/>
      <c r="S284" s="285"/>
      <c r="T284" s="286">
        <f t="shared" ref="T284:T311" si="228">U284+V284+W284+X284</f>
        <v>47194000</v>
      </c>
      <c r="U284" s="287">
        <f t="shared" ref="U284:X299" si="229">U53*1000</f>
        <v>47194000</v>
      </c>
      <c r="V284" s="288">
        <f t="shared" si="229"/>
        <v>0</v>
      </c>
      <c r="W284" s="288">
        <f t="shared" si="229"/>
        <v>0</v>
      </c>
      <c r="X284" s="430">
        <f t="shared" si="229"/>
        <v>0</v>
      </c>
      <c r="Y284" s="284">
        <f t="shared" ref="Y284:Y311" si="230">Z284+AA284+AB284+AC284</f>
        <v>273200000</v>
      </c>
      <c r="Z284" s="281">
        <f t="shared" ref="Z284:AC299" si="231">Z53*1000</f>
        <v>273200000</v>
      </c>
      <c r="AA284" s="282">
        <f t="shared" si="231"/>
        <v>0</v>
      </c>
      <c r="AB284" s="282">
        <f t="shared" si="231"/>
        <v>0</v>
      </c>
      <c r="AC284" s="283">
        <f t="shared" si="231"/>
        <v>0</v>
      </c>
    </row>
    <row r="285" spans="1:29" x14ac:dyDescent="0.2">
      <c r="A285" s="1313"/>
      <c r="B285" s="1276"/>
      <c r="C285" s="1276"/>
      <c r="D285" s="1276"/>
      <c r="E285" s="1276"/>
      <c r="F285" s="1315"/>
      <c r="G285" s="1309"/>
      <c r="H285" s="1311"/>
      <c r="I285" s="766" t="s">
        <v>73</v>
      </c>
      <c r="J285" s="767">
        <f t="shared" si="226"/>
        <v>320394000</v>
      </c>
      <c r="K285" s="768">
        <f t="shared" si="226"/>
        <v>83750000</v>
      </c>
      <c r="L285" s="769">
        <f t="shared" si="226"/>
        <v>82850000</v>
      </c>
      <c r="M285" s="769">
        <f t="shared" si="226"/>
        <v>82160000</v>
      </c>
      <c r="N285" s="770">
        <f t="shared" si="226"/>
        <v>71634000</v>
      </c>
      <c r="O285" s="771">
        <f t="shared" si="227"/>
        <v>0</v>
      </c>
      <c r="P285" s="768"/>
      <c r="Q285" s="769"/>
      <c r="R285" s="769"/>
      <c r="S285" s="772"/>
      <c r="T285" s="773">
        <f t="shared" si="228"/>
        <v>47194000</v>
      </c>
      <c r="U285" s="774">
        <f t="shared" si="229"/>
        <v>12600000</v>
      </c>
      <c r="V285" s="775">
        <f t="shared" si="229"/>
        <v>12250000</v>
      </c>
      <c r="W285" s="775">
        <f t="shared" si="229"/>
        <v>12110000</v>
      </c>
      <c r="X285" s="776">
        <f t="shared" si="229"/>
        <v>10234000</v>
      </c>
      <c r="Y285" s="771">
        <f t="shared" si="230"/>
        <v>273200000</v>
      </c>
      <c r="Z285" s="768">
        <f t="shared" si="231"/>
        <v>71150000</v>
      </c>
      <c r="AA285" s="769">
        <f t="shared" si="231"/>
        <v>70600000</v>
      </c>
      <c r="AB285" s="769">
        <f t="shared" si="231"/>
        <v>70050000</v>
      </c>
      <c r="AC285" s="770">
        <f t="shared" si="231"/>
        <v>61400000</v>
      </c>
    </row>
    <row r="286" spans="1:29" s="763" customFormat="1" x14ac:dyDescent="0.2">
      <c r="A286" s="1312"/>
      <c r="B286" s="1275"/>
      <c r="C286" s="1275"/>
      <c r="D286" s="1275"/>
      <c r="E286" s="1275"/>
      <c r="F286" s="1314" t="s">
        <v>104</v>
      </c>
      <c r="G286" s="1308" t="s">
        <v>105</v>
      </c>
      <c r="H286" s="1310" t="s">
        <v>106</v>
      </c>
      <c r="I286" s="279" t="s">
        <v>72</v>
      </c>
      <c r="J286" s="280">
        <f t="shared" si="226"/>
        <v>30770000</v>
      </c>
      <c r="K286" s="281">
        <f t="shared" si="226"/>
        <v>30770000</v>
      </c>
      <c r="L286" s="282">
        <f t="shared" si="226"/>
        <v>0</v>
      </c>
      <c r="M286" s="282">
        <f t="shared" si="226"/>
        <v>0</v>
      </c>
      <c r="N286" s="283">
        <f t="shared" si="226"/>
        <v>0</v>
      </c>
      <c r="O286" s="284">
        <f t="shared" si="227"/>
        <v>0</v>
      </c>
      <c r="P286" s="281"/>
      <c r="Q286" s="282"/>
      <c r="R286" s="282"/>
      <c r="S286" s="285"/>
      <c r="T286" s="286">
        <f t="shared" si="228"/>
        <v>4620000</v>
      </c>
      <c r="U286" s="287">
        <f t="shared" si="229"/>
        <v>4620000</v>
      </c>
      <c r="V286" s="288">
        <f t="shared" si="229"/>
        <v>0</v>
      </c>
      <c r="W286" s="288">
        <f t="shared" si="229"/>
        <v>0</v>
      </c>
      <c r="X286" s="430">
        <f t="shared" si="229"/>
        <v>0</v>
      </c>
      <c r="Y286" s="284">
        <f t="shared" si="230"/>
        <v>26150000</v>
      </c>
      <c r="Z286" s="281">
        <f t="shared" si="231"/>
        <v>26150000</v>
      </c>
      <c r="AA286" s="282">
        <f t="shared" si="231"/>
        <v>0</v>
      </c>
      <c r="AB286" s="282">
        <f t="shared" si="231"/>
        <v>0</v>
      </c>
      <c r="AC286" s="283">
        <f t="shared" si="231"/>
        <v>0</v>
      </c>
    </row>
    <row r="287" spans="1:29" x14ac:dyDescent="0.2">
      <c r="A287" s="1313"/>
      <c r="B287" s="1276"/>
      <c r="C287" s="1276"/>
      <c r="D287" s="1276"/>
      <c r="E287" s="1276"/>
      <c r="F287" s="1315"/>
      <c r="G287" s="1309"/>
      <c r="H287" s="1311"/>
      <c r="I287" s="766" t="s">
        <v>73</v>
      </c>
      <c r="J287" s="767">
        <f t="shared" si="226"/>
        <v>30770000</v>
      </c>
      <c r="K287" s="768">
        <f t="shared" si="226"/>
        <v>8828000</v>
      </c>
      <c r="L287" s="769">
        <f t="shared" si="226"/>
        <v>8558000</v>
      </c>
      <c r="M287" s="769">
        <f t="shared" si="226"/>
        <v>8213000</v>
      </c>
      <c r="N287" s="770">
        <f t="shared" si="226"/>
        <v>5171000</v>
      </c>
      <c r="O287" s="771">
        <f t="shared" si="227"/>
        <v>0</v>
      </c>
      <c r="P287" s="768"/>
      <c r="Q287" s="769"/>
      <c r="R287" s="769"/>
      <c r="S287" s="772"/>
      <c r="T287" s="773">
        <f t="shared" si="228"/>
        <v>4620000</v>
      </c>
      <c r="U287" s="774">
        <f t="shared" si="229"/>
        <v>1340000</v>
      </c>
      <c r="V287" s="775">
        <f t="shared" si="229"/>
        <v>1270000</v>
      </c>
      <c r="W287" s="775">
        <f t="shared" si="229"/>
        <v>1175000</v>
      </c>
      <c r="X287" s="776">
        <f t="shared" si="229"/>
        <v>835000</v>
      </c>
      <c r="Y287" s="771">
        <f t="shared" si="230"/>
        <v>26150000</v>
      </c>
      <c r="Z287" s="768">
        <f t="shared" si="231"/>
        <v>7488000</v>
      </c>
      <c r="AA287" s="769">
        <f t="shared" si="231"/>
        <v>7288000</v>
      </c>
      <c r="AB287" s="769">
        <f t="shared" si="231"/>
        <v>7038000</v>
      </c>
      <c r="AC287" s="770">
        <f t="shared" si="231"/>
        <v>4336000</v>
      </c>
    </row>
    <row r="288" spans="1:29" s="777" customFormat="1" ht="15" customHeight="1" x14ac:dyDescent="0.2">
      <c r="A288" s="1312"/>
      <c r="B288" s="1275"/>
      <c r="C288" s="1275"/>
      <c r="D288" s="1275"/>
      <c r="E288" s="1275"/>
      <c r="F288" s="1314" t="s">
        <v>107</v>
      </c>
      <c r="G288" s="1308" t="s">
        <v>108</v>
      </c>
      <c r="H288" s="1310" t="s">
        <v>109</v>
      </c>
      <c r="I288" s="279" t="s">
        <v>72</v>
      </c>
      <c r="J288" s="280">
        <f t="shared" si="226"/>
        <v>220000</v>
      </c>
      <c r="K288" s="281">
        <f t="shared" si="226"/>
        <v>220000</v>
      </c>
      <c r="L288" s="282">
        <f t="shared" si="226"/>
        <v>0</v>
      </c>
      <c r="M288" s="282">
        <f t="shared" si="226"/>
        <v>0</v>
      </c>
      <c r="N288" s="283">
        <f t="shared" si="226"/>
        <v>0</v>
      </c>
      <c r="O288" s="284">
        <f t="shared" si="227"/>
        <v>0</v>
      </c>
      <c r="P288" s="281"/>
      <c r="Q288" s="282"/>
      <c r="R288" s="282"/>
      <c r="S288" s="285"/>
      <c r="T288" s="286">
        <f t="shared" si="228"/>
        <v>20000</v>
      </c>
      <c r="U288" s="287">
        <f t="shared" si="229"/>
        <v>20000</v>
      </c>
      <c r="V288" s="288">
        <f t="shared" si="229"/>
        <v>0</v>
      </c>
      <c r="W288" s="288">
        <f t="shared" si="229"/>
        <v>0</v>
      </c>
      <c r="X288" s="430">
        <f t="shared" si="229"/>
        <v>0</v>
      </c>
      <c r="Y288" s="284">
        <f t="shared" si="230"/>
        <v>200000</v>
      </c>
      <c r="Z288" s="281">
        <f t="shared" si="231"/>
        <v>200000</v>
      </c>
      <c r="AA288" s="282">
        <f t="shared" si="231"/>
        <v>0</v>
      </c>
      <c r="AB288" s="282">
        <f t="shared" si="231"/>
        <v>0</v>
      </c>
      <c r="AC288" s="283">
        <f t="shared" si="231"/>
        <v>0</v>
      </c>
    </row>
    <row r="289" spans="1:29" ht="15" customHeight="1" x14ac:dyDescent="0.2">
      <c r="A289" s="1313"/>
      <c r="B289" s="1276"/>
      <c r="C289" s="1276"/>
      <c r="D289" s="1276"/>
      <c r="E289" s="1276"/>
      <c r="F289" s="1315"/>
      <c r="G289" s="1309"/>
      <c r="H289" s="1311"/>
      <c r="I289" s="766" t="s">
        <v>73</v>
      </c>
      <c r="J289" s="767">
        <f t="shared" si="226"/>
        <v>220000</v>
      </c>
      <c r="K289" s="768">
        <f t="shared" si="226"/>
        <v>220000</v>
      </c>
      <c r="L289" s="769">
        <f t="shared" si="226"/>
        <v>0</v>
      </c>
      <c r="M289" s="769">
        <f t="shared" si="226"/>
        <v>0</v>
      </c>
      <c r="N289" s="770">
        <f t="shared" si="226"/>
        <v>0</v>
      </c>
      <c r="O289" s="771">
        <f t="shared" si="227"/>
        <v>0</v>
      </c>
      <c r="P289" s="768"/>
      <c r="Q289" s="769"/>
      <c r="R289" s="769"/>
      <c r="S289" s="772"/>
      <c r="T289" s="773">
        <f t="shared" si="228"/>
        <v>20000</v>
      </c>
      <c r="U289" s="774">
        <f t="shared" si="229"/>
        <v>20000</v>
      </c>
      <c r="V289" s="775">
        <f t="shared" si="229"/>
        <v>0</v>
      </c>
      <c r="W289" s="775">
        <f t="shared" si="229"/>
        <v>0</v>
      </c>
      <c r="X289" s="776">
        <f t="shared" si="229"/>
        <v>0</v>
      </c>
      <c r="Y289" s="771">
        <f t="shared" si="230"/>
        <v>200000</v>
      </c>
      <c r="Z289" s="768">
        <f t="shared" si="231"/>
        <v>200000</v>
      </c>
      <c r="AA289" s="769">
        <f t="shared" si="231"/>
        <v>0</v>
      </c>
      <c r="AB289" s="769">
        <f t="shared" si="231"/>
        <v>0</v>
      </c>
      <c r="AC289" s="770">
        <f t="shared" si="231"/>
        <v>0</v>
      </c>
    </row>
    <row r="290" spans="1:29" s="777" customFormat="1" ht="15" hidden="1" customHeight="1" x14ac:dyDescent="0.2">
      <c r="A290" s="1312"/>
      <c r="B290" s="1275"/>
      <c r="C290" s="1275"/>
      <c r="D290" s="1275"/>
      <c r="E290" s="1275"/>
      <c r="F290" s="1314" t="s">
        <v>110</v>
      </c>
      <c r="G290" s="1308" t="s">
        <v>111</v>
      </c>
      <c r="H290" s="1310" t="s">
        <v>112</v>
      </c>
      <c r="I290" s="302" t="s">
        <v>72</v>
      </c>
      <c r="J290" s="303">
        <f t="shared" si="226"/>
        <v>0</v>
      </c>
      <c r="K290" s="304">
        <f t="shared" si="226"/>
        <v>0</v>
      </c>
      <c r="L290" s="305">
        <f t="shared" si="226"/>
        <v>0</v>
      </c>
      <c r="M290" s="305">
        <f t="shared" si="226"/>
        <v>0</v>
      </c>
      <c r="N290" s="306">
        <f t="shared" si="226"/>
        <v>0</v>
      </c>
      <c r="O290" s="307">
        <f t="shared" si="227"/>
        <v>0</v>
      </c>
      <c r="P290" s="304"/>
      <c r="Q290" s="305"/>
      <c r="R290" s="305"/>
      <c r="S290" s="308"/>
      <c r="T290" s="309">
        <f t="shared" si="228"/>
        <v>0</v>
      </c>
      <c r="U290" s="310">
        <f t="shared" si="229"/>
        <v>0</v>
      </c>
      <c r="V290" s="311">
        <f t="shared" si="229"/>
        <v>0</v>
      </c>
      <c r="W290" s="311">
        <f t="shared" si="229"/>
        <v>0</v>
      </c>
      <c r="X290" s="778">
        <f t="shared" si="229"/>
        <v>0</v>
      </c>
      <c r="Y290" s="307">
        <f t="shared" si="230"/>
        <v>0</v>
      </c>
      <c r="Z290" s="304">
        <f t="shared" si="231"/>
        <v>0</v>
      </c>
      <c r="AA290" s="305">
        <f t="shared" si="231"/>
        <v>0</v>
      </c>
      <c r="AB290" s="305">
        <f t="shared" si="231"/>
        <v>0</v>
      </c>
      <c r="AC290" s="306">
        <f t="shared" si="231"/>
        <v>0</v>
      </c>
    </row>
    <row r="291" spans="1:29" ht="15" hidden="1" customHeight="1" x14ac:dyDescent="0.2">
      <c r="A291" s="1313"/>
      <c r="B291" s="1276"/>
      <c r="C291" s="1276"/>
      <c r="D291" s="1276"/>
      <c r="E291" s="1276"/>
      <c r="F291" s="1315"/>
      <c r="G291" s="1309"/>
      <c r="H291" s="1311"/>
      <c r="I291" s="766" t="s">
        <v>73</v>
      </c>
      <c r="J291" s="767">
        <f t="shared" si="226"/>
        <v>0</v>
      </c>
      <c r="K291" s="768">
        <f t="shared" si="226"/>
        <v>0</v>
      </c>
      <c r="L291" s="769">
        <f t="shared" si="226"/>
        <v>0</v>
      </c>
      <c r="M291" s="769">
        <f t="shared" si="226"/>
        <v>0</v>
      </c>
      <c r="N291" s="770">
        <f t="shared" si="226"/>
        <v>0</v>
      </c>
      <c r="O291" s="771">
        <f t="shared" si="227"/>
        <v>0</v>
      </c>
      <c r="P291" s="768"/>
      <c r="Q291" s="769"/>
      <c r="R291" s="769"/>
      <c r="S291" s="772"/>
      <c r="T291" s="773">
        <f t="shared" si="228"/>
        <v>0</v>
      </c>
      <c r="U291" s="774">
        <f t="shared" si="229"/>
        <v>0</v>
      </c>
      <c r="V291" s="775">
        <f t="shared" si="229"/>
        <v>0</v>
      </c>
      <c r="W291" s="775">
        <f t="shared" si="229"/>
        <v>0</v>
      </c>
      <c r="X291" s="776">
        <f t="shared" si="229"/>
        <v>0</v>
      </c>
      <c r="Y291" s="771">
        <f t="shared" si="230"/>
        <v>0</v>
      </c>
      <c r="Z291" s="768">
        <f t="shared" si="231"/>
        <v>0</v>
      </c>
      <c r="AA291" s="769">
        <f t="shared" si="231"/>
        <v>0</v>
      </c>
      <c r="AB291" s="769">
        <f t="shared" si="231"/>
        <v>0</v>
      </c>
      <c r="AC291" s="770">
        <f t="shared" si="231"/>
        <v>0</v>
      </c>
    </row>
    <row r="292" spans="1:29" hidden="1" x14ac:dyDescent="0.2">
      <c r="A292" s="1312"/>
      <c r="B292" s="1275"/>
      <c r="C292" s="1275"/>
      <c r="D292" s="1275"/>
      <c r="E292" s="1275"/>
      <c r="F292" s="1314" t="s">
        <v>46</v>
      </c>
      <c r="G292" s="1308" t="s">
        <v>113</v>
      </c>
      <c r="H292" s="1310" t="s">
        <v>114</v>
      </c>
      <c r="I292" s="302" t="s">
        <v>72</v>
      </c>
      <c r="J292" s="303">
        <f t="shared" si="226"/>
        <v>0</v>
      </c>
      <c r="K292" s="304">
        <f t="shared" si="226"/>
        <v>0</v>
      </c>
      <c r="L292" s="305">
        <f t="shared" si="226"/>
        <v>0</v>
      </c>
      <c r="M292" s="305">
        <f t="shared" si="226"/>
        <v>0</v>
      </c>
      <c r="N292" s="306">
        <f t="shared" si="226"/>
        <v>0</v>
      </c>
      <c r="O292" s="307">
        <f t="shared" si="227"/>
        <v>0</v>
      </c>
      <c r="P292" s="304"/>
      <c r="Q292" s="305"/>
      <c r="R292" s="305"/>
      <c r="S292" s="308"/>
      <c r="T292" s="309">
        <f t="shared" si="228"/>
        <v>0</v>
      </c>
      <c r="U292" s="310">
        <f t="shared" si="229"/>
        <v>0</v>
      </c>
      <c r="V292" s="311">
        <f t="shared" si="229"/>
        <v>0</v>
      </c>
      <c r="W292" s="311">
        <f t="shared" si="229"/>
        <v>0</v>
      </c>
      <c r="X292" s="778">
        <f t="shared" si="229"/>
        <v>0</v>
      </c>
      <c r="Y292" s="307">
        <f t="shared" si="230"/>
        <v>0</v>
      </c>
      <c r="Z292" s="304">
        <f t="shared" si="231"/>
        <v>0</v>
      </c>
      <c r="AA292" s="305">
        <f t="shared" si="231"/>
        <v>0</v>
      </c>
      <c r="AB292" s="305">
        <f t="shared" si="231"/>
        <v>0</v>
      </c>
      <c r="AC292" s="306">
        <f t="shared" si="231"/>
        <v>0</v>
      </c>
    </row>
    <row r="293" spans="1:29" hidden="1" x14ac:dyDescent="0.2">
      <c r="A293" s="1313"/>
      <c r="B293" s="1276"/>
      <c r="C293" s="1276"/>
      <c r="D293" s="1276"/>
      <c r="E293" s="1276"/>
      <c r="F293" s="1315"/>
      <c r="G293" s="1309"/>
      <c r="H293" s="1311"/>
      <c r="I293" s="766" t="s">
        <v>73</v>
      </c>
      <c r="J293" s="767">
        <f t="shared" si="226"/>
        <v>0</v>
      </c>
      <c r="K293" s="768">
        <f t="shared" si="226"/>
        <v>0</v>
      </c>
      <c r="L293" s="769">
        <f t="shared" si="226"/>
        <v>0</v>
      </c>
      <c r="M293" s="769">
        <f t="shared" si="226"/>
        <v>0</v>
      </c>
      <c r="N293" s="770">
        <f t="shared" si="226"/>
        <v>0</v>
      </c>
      <c r="O293" s="771">
        <f t="shared" si="227"/>
        <v>0</v>
      </c>
      <c r="P293" s="768"/>
      <c r="Q293" s="769"/>
      <c r="R293" s="769"/>
      <c r="S293" s="772"/>
      <c r="T293" s="773">
        <f t="shared" si="228"/>
        <v>0</v>
      </c>
      <c r="U293" s="774">
        <f t="shared" si="229"/>
        <v>0</v>
      </c>
      <c r="V293" s="775">
        <f t="shared" si="229"/>
        <v>0</v>
      </c>
      <c r="W293" s="775">
        <f t="shared" si="229"/>
        <v>0</v>
      </c>
      <c r="X293" s="776">
        <f t="shared" si="229"/>
        <v>0</v>
      </c>
      <c r="Y293" s="771">
        <f t="shared" si="230"/>
        <v>0</v>
      </c>
      <c r="Z293" s="768">
        <f t="shared" si="231"/>
        <v>0</v>
      </c>
      <c r="AA293" s="769">
        <f t="shared" si="231"/>
        <v>0</v>
      </c>
      <c r="AB293" s="769">
        <f t="shared" si="231"/>
        <v>0</v>
      </c>
      <c r="AC293" s="770">
        <f t="shared" si="231"/>
        <v>0</v>
      </c>
    </row>
    <row r="294" spans="1:29" x14ac:dyDescent="0.2">
      <c r="A294" s="1312"/>
      <c r="B294" s="1275"/>
      <c r="C294" s="1275"/>
      <c r="D294" s="1275"/>
      <c r="E294" s="1275"/>
      <c r="F294" s="1314" t="s">
        <v>115</v>
      </c>
      <c r="G294" s="1308" t="s">
        <v>116</v>
      </c>
      <c r="H294" s="1310" t="s">
        <v>117</v>
      </c>
      <c r="I294" s="279" t="s">
        <v>72</v>
      </c>
      <c r="J294" s="280">
        <f t="shared" si="226"/>
        <v>850000</v>
      </c>
      <c r="K294" s="281">
        <f t="shared" si="226"/>
        <v>850000</v>
      </c>
      <c r="L294" s="282">
        <f t="shared" si="226"/>
        <v>0</v>
      </c>
      <c r="M294" s="282">
        <f t="shared" si="226"/>
        <v>0</v>
      </c>
      <c r="N294" s="283">
        <f t="shared" si="226"/>
        <v>0</v>
      </c>
      <c r="O294" s="284">
        <f t="shared" si="227"/>
        <v>0</v>
      </c>
      <c r="P294" s="281"/>
      <c r="Q294" s="282"/>
      <c r="R294" s="282"/>
      <c r="S294" s="285"/>
      <c r="T294" s="286">
        <f t="shared" si="228"/>
        <v>0</v>
      </c>
      <c r="U294" s="287">
        <f t="shared" si="229"/>
        <v>0</v>
      </c>
      <c r="V294" s="288">
        <f t="shared" si="229"/>
        <v>0</v>
      </c>
      <c r="W294" s="288">
        <f t="shared" si="229"/>
        <v>0</v>
      </c>
      <c r="X294" s="430">
        <f t="shared" si="229"/>
        <v>0</v>
      </c>
      <c r="Y294" s="284">
        <f t="shared" si="230"/>
        <v>850000</v>
      </c>
      <c r="Z294" s="281">
        <f t="shared" si="231"/>
        <v>850000</v>
      </c>
      <c r="AA294" s="282">
        <f t="shared" si="231"/>
        <v>0</v>
      </c>
      <c r="AB294" s="282">
        <f t="shared" si="231"/>
        <v>0</v>
      </c>
      <c r="AC294" s="283">
        <f t="shared" si="231"/>
        <v>0</v>
      </c>
    </row>
    <row r="295" spans="1:29" x14ac:dyDescent="0.2">
      <c r="A295" s="1313"/>
      <c r="B295" s="1276"/>
      <c r="C295" s="1276"/>
      <c r="D295" s="1276"/>
      <c r="E295" s="1276"/>
      <c r="F295" s="1315"/>
      <c r="G295" s="1309"/>
      <c r="H295" s="1311"/>
      <c r="I295" s="766" t="s">
        <v>73</v>
      </c>
      <c r="J295" s="767">
        <f t="shared" si="226"/>
        <v>850000</v>
      </c>
      <c r="K295" s="768">
        <f t="shared" si="226"/>
        <v>850000</v>
      </c>
      <c r="L295" s="769">
        <f t="shared" si="226"/>
        <v>0</v>
      </c>
      <c r="M295" s="769">
        <f t="shared" si="226"/>
        <v>0</v>
      </c>
      <c r="N295" s="770">
        <f t="shared" si="226"/>
        <v>0</v>
      </c>
      <c r="O295" s="771">
        <f t="shared" si="227"/>
        <v>0</v>
      </c>
      <c r="P295" s="768"/>
      <c r="Q295" s="769"/>
      <c r="R295" s="769"/>
      <c r="S295" s="772"/>
      <c r="T295" s="773">
        <f t="shared" si="228"/>
        <v>0</v>
      </c>
      <c r="U295" s="774">
        <f t="shared" si="229"/>
        <v>0</v>
      </c>
      <c r="V295" s="775">
        <f t="shared" si="229"/>
        <v>0</v>
      </c>
      <c r="W295" s="775">
        <f t="shared" si="229"/>
        <v>0</v>
      </c>
      <c r="X295" s="776">
        <f t="shared" si="229"/>
        <v>0</v>
      </c>
      <c r="Y295" s="771">
        <f t="shared" si="230"/>
        <v>850000</v>
      </c>
      <c r="Z295" s="768">
        <f t="shared" si="231"/>
        <v>850000</v>
      </c>
      <c r="AA295" s="769">
        <f t="shared" si="231"/>
        <v>0</v>
      </c>
      <c r="AB295" s="769">
        <f t="shared" si="231"/>
        <v>0</v>
      </c>
      <c r="AC295" s="770">
        <f t="shared" si="231"/>
        <v>0</v>
      </c>
    </row>
    <row r="296" spans="1:29" x14ac:dyDescent="0.2">
      <c r="A296" s="1312"/>
      <c r="B296" s="1275"/>
      <c r="C296" s="1275"/>
      <c r="D296" s="1275"/>
      <c r="E296" s="1275"/>
      <c r="F296" s="1314" t="s">
        <v>118</v>
      </c>
      <c r="G296" s="1308" t="s">
        <v>119</v>
      </c>
      <c r="H296" s="1310" t="s">
        <v>120</v>
      </c>
      <c r="I296" s="279" t="s">
        <v>72</v>
      </c>
      <c r="J296" s="280">
        <f t="shared" si="226"/>
        <v>1910000</v>
      </c>
      <c r="K296" s="281">
        <f t="shared" si="226"/>
        <v>1910000</v>
      </c>
      <c r="L296" s="282">
        <f t="shared" si="226"/>
        <v>0</v>
      </c>
      <c r="M296" s="282">
        <f t="shared" si="226"/>
        <v>0</v>
      </c>
      <c r="N296" s="283">
        <f t="shared" si="226"/>
        <v>0</v>
      </c>
      <c r="O296" s="284">
        <f t="shared" si="227"/>
        <v>0</v>
      </c>
      <c r="P296" s="281"/>
      <c r="Q296" s="282"/>
      <c r="R296" s="282"/>
      <c r="S296" s="285"/>
      <c r="T296" s="286">
        <f t="shared" si="228"/>
        <v>510000</v>
      </c>
      <c r="U296" s="287">
        <f t="shared" si="229"/>
        <v>510000</v>
      </c>
      <c r="V296" s="288">
        <f t="shared" si="229"/>
        <v>0</v>
      </c>
      <c r="W296" s="288">
        <f t="shared" si="229"/>
        <v>0</v>
      </c>
      <c r="X296" s="430">
        <f t="shared" si="229"/>
        <v>0</v>
      </c>
      <c r="Y296" s="284">
        <f t="shared" si="230"/>
        <v>1400000</v>
      </c>
      <c r="Z296" s="281">
        <f t="shared" si="231"/>
        <v>1400000</v>
      </c>
      <c r="AA296" s="282">
        <f t="shared" si="231"/>
        <v>0</v>
      </c>
      <c r="AB296" s="282">
        <f t="shared" si="231"/>
        <v>0</v>
      </c>
      <c r="AC296" s="283">
        <f t="shared" si="231"/>
        <v>0</v>
      </c>
    </row>
    <row r="297" spans="1:29" x14ac:dyDescent="0.2">
      <c r="A297" s="1313"/>
      <c r="B297" s="1276"/>
      <c r="C297" s="1276"/>
      <c r="D297" s="1276"/>
      <c r="E297" s="1276"/>
      <c r="F297" s="1315"/>
      <c r="G297" s="1309"/>
      <c r="H297" s="1311"/>
      <c r="I297" s="766" t="s">
        <v>73</v>
      </c>
      <c r="J297" s="767">
        <f t="shared" si="226"/>
        <v>1910000</v>
      </c>
      <c r="K297" s="768">
        <f t="shared" si="226"/>
        <v>502000</v>
      </c>
      <c r="L297" s="769">
        <f t="shared" si="226"/>
        <v>452000</v>
      </c>
      <c r="M297" s="769">
        <f t="shared" si="226"/>
        <v>528000</v>
      </c>
      <c r="N297" s="770">
        <f t="shared" si="226"/>
        <v>428000</v>
      </c>
      <c r="O297" s="771">
        <f t="shared" si="227"/>
        <v>0</v>
      </c>
      <c r="P297" s="768"/>
      <c r="Q297" s="769"/>
      <c r="R297" s="769"/>
      <c r="S297" s="772"/>
      <c r="T297" s="773">
        <f t="shared" si="228"/>
        <v>510000</v>
      </c>
      <c r="U297" s="774">
        <f t="shared" si="229"/>
        <v>127000</v>
      </c>
      <c r="V297" s="775">
        <f t="shared" si="229"/>
        <v>127000</v>
      </c>
      <c r="W297" s="775">
        <f t="shared" si="229"/>
        <v>128000</v>
      </c>
      <c r="X297" s="776">
        <f t="shared" si="229"/>
        <v>128000</v>
      </c>
      <c r="Y297" s="771">
        <f t="shared" si="230"/>
        <v>1400000</v>
      </c>
      <c r="Z297" s="768">
        <f t="shared" si="231"/>
        <v>375000</v>
      </c>
      <c r="AA297" s="769">
        <f t="shared" si="231"/>
        <v>325000</v>
      </c>
      <c r="AB297" s="769">
        <f t="shared" si="231"/>
        <v>400000</v>
      </c>
      <c r="AC297" s="770">
        <f t="shared" si="231"/>
        <v>300000</v>
      </c>
    </row>
    <row r="298" spans="1:29" x14ac:dyDescent="0.2">
      <c r="A298" s="1312"/>
      <c r="B298" s="1275"/>
      <c r="C298" s="1275"/>
      <c r="D298" s="1275"/>
      <c r="E298" s="1275"/>
      <c r="F298" s="1314" t="s">
        <v>121</v>
      </c>
      <c r="G298" s="1308" t="s">
        <v>122</v>
      </c>
      <c r="H298" s="1310" t="s">
        <v>123</v>
      </c>
      <c r="I298" s="279" t="s">
        <v>72</v>
      </c>
      <c r="J298" s="280">
        <f t="shared" si="226"/>
        <v>200000</v>
      </c>
      <c r="K298" s="281">
        <f t="shared" si="226"/>
        <v>200000</v>
      </c>
      <c r="L298" s="282">
        <f t="shared" si="226"/>
        <v>0</v>
      </c>
      <c r="M298" s="282">
        <f t="shared" si="226"/>
        <v>0</v>
      </c>
      <c r="N298" s="283">
        <f t="shared" si="226"/>
        <v>0</v>
      </c>
      <c r="O298" s="284">
        <f t="shared" si="227"/>
        <v>0</v>
      </c>
      <c r="P298" s="281"/>
      <c r="Q298" s="282"/>
      <c r="R298" s="282"/>
      <c r="S298" s="285"/>
      <c r="T298" s="286">
        <f t="shared" si="228"/>
        <v>50000</v>
      </c>
      <c r="U298" s="287">
        <f t="shared" si="229"/>
        <v>50000</v>
      </c>
      <c r="V298" s="288">
        <f t="shared" si="229"/>
        <v>0</v>
      </c>
      <c r="W298" s="288">
        <f t="shared" si="229"/>
        <v>0</v>
      </c>
      <c r="X298" s="289">
        <f t="shared" si="229"/>
        <v>0</v>
      </c>
      <c r="Y298" s="280">
        <f t="shared" si="230"/>
        <v>150000</v>
      </c>
      <c r="Z298" s="281">
        <f t="shared" si="231"/>
        <v>150000</v>
      </c>
      <c r="AA298" s="282">
        <f t="shared" si="231"/>
        <v>0</v>
      </c>
      <c r="AB298" s="282">
        <f t="shared" si="231"/>
        <v>0</v>
      </c>
      <c r="AC298" s="283">
        <f t="shared" si="231"/>
        <v>0</v>
      </c>
    </row>
    <row r="299" spans="1:29" x14ac:dyDescent="0.2">
      <c r="A299" s="1313"/>
      <c r="B299" s="1276"/>
      <c r="C299" s="1276"/>
      <c r="D299" s="1276"/>
      <c r="E299" s="1276"/>
      <c r="F299" s="1315"/>
      <c r="G299" s="1309"/>
      <c r="H299" s="1311"/>
      <c r="I299" s="766" t="s">
        <v>73</v>
      </c>
      <c r="J299" s="767">
        <f t="shared" si="226"/>
        <v>200000</v>
      </c>
      <c r="K299" s="768">
        <f t="shared" si="226"/>
        <v>200000</v>
      </c>
      <c r="L299" s="769">
        <f t="shared" si="226"/>
        <v>0</v>
      </c>
      <c r="M299" s="769">
        <f t="shared" si="226"/>
        <v>0</v>
      </c>
      <c r="N299" s="770">
        <f t="shared" si="226"/>
        <v>0</v>
      </c>
      <c r="O299" s="771">
        <f t="shared" si="227"/>
        <v>0</v>
      </c>
      <c r="P299" s="768"/>
      <c r="Q299" s="769"/>
      <c r="R299" s="769"/>
      <c r="S299" s="772"/>
      <c r="T299" s="773">
        <f t="shared" si="228"/>
        <v>50000</v>
      </c>
      <c r="U299" s="774">
        <f t="shared" si="229"/>
        <v>50000</v>
      </c>
      <c r="V299" s="775">
        <f t="shared" si="229"/>
        <v>0</v>
      </c>
      <c r="W299" s="775">
        <f t="shared" si="229"/>
        <v>0</v>
      </c>
      <c r="X299" s="776">
        <f t="shared" si="229"/>
        <v>0</v>
      </c>
      <c r="Y299" s="771">
        <f t="shared" si="230"/>
        <v>150000</v>
      </c>
      <c r="Z299" s="768">
        <f t="shared" si="231"/>
        <v>150000</v>
      </c>
      <c r="AA299" s="769">
        <f t="shared" si="231"/>
        <v>0</v>
      </c>
      <c r="AB299" s="769">
        <f t="shared" si="231"/>
        <v>0</v>
      </c>
      <c r="AC299" s="770">
        <f t="shared" si="231"/>
        <v>0</v>
      </c>
    </row>
    <row r="300" spans="1:29" x14ac:dyDescent="0.2">
      <c r="A300" s="1312"/>
      <c r="B300" s="1275"/>
      <c r="C300" s="1275"/>
      <c r="D300" s="1275"/>
      <c r="E300" s="1275"/>
      <c r="F300" s="1314" t="s">
        <v>63</v>
      </c>
      <c r="G300" s="1308" t="s">
        <v>124</v>
      </c>
      <c r="H300" s="1310" t="s">
        <v>125</v>
      </c>
      <c r="I300" s="279" t="s">
        <v>72</v>
      </c>
      <c r="J300" s="280">
        <f t="shared" si="226"/>
        <v>200000</v>
      </c>
      <c r="K300" s="281">
        <f t="shared" si="226"/>
        <v>200000</v>
      </c>
      <c r="L300" s="282">
        <f t="shared" si="226"/>
        <v>0</v>
      </c>
      <c r="M300" s="282">
        <f t="shared" si="226"/>
        <v>0</v>
      </c>
      <c r="N300" s="283">
        <f t="shared" si="226"/>
        <v>0</v>
      </c>
      <c r="O300" s="284">
        <f t="shared" si="227"/>
        <v>0</v>
      </c>
      <c r="P300" s="281"/>
      <c r="Q300" s="282"/>
      <c r="R300" s="282"/>
      <c r="S300" s="285"/>
      <c r="T300" s="286">
        <f t="shared" si="228"/>
        <v>50000</v>
      </c>
      <c r="U300" s="287">
        <f t="shared" ref="U300:X305" si="232">U69*1000</f>
        <v>50000</v>
      </c>
      <c r="V300" s="288">
        <f t="shared" si="232"/>
        <v>0</v>
      </c>
      <c r="W300" s="288">
        <f t="shared" si="232"/>
        <v>0</v>
      </c>
      <c r="X300" s="289">
        <f t="shared" si="232"/>
        <v>0</v>
      </c>
      <c r="Y300" s="280">
        <f t="shared" si="230"/>
        <v>150000</v>
      </c>
      <c r="Z300" s="281">
        <f t="shared" ref="Z300:AC301" si="233">Z69*1000</f>
        <v>150000</v>
      </c>
      <c r="AA300" s="282">
        <f t="shared" si="233"/>
        <v>0</v>
      </c>
      <c r="AB300" s="282">
        <f t="shared" si="233"/>
        <v>0</v>
      </c>
      <c r="AC300" s="283">
        <f t="shared" si="233"/>
        <v>0</v>
      </c>
    </row>
    <row r="301" spans="1:29" x14ac:dyDescent="0.2">
      <c r="A301" s="1313"/>
      <c r="B301" s="1276"/>
      <c r="C301" s="1276"/>
      <c r="D301" s="1276"/>
      <c r="E301" s="1276"/>
      <c r="F301" s="1315"/>
      <c r="G301" s="1309"/>
      <c r="H301" s="1311"/>
      <c r="I301" s="766" t="s">
        <v>73</v>
      </c>
      <c r="J301" s="767">
        <f t="shared" si="226"/>
        <v>200000</v>
      </c>
      <c r="K301" s="768">
        <f t="shared" si="226"/>
        <v>200000</v>
      </c>
      <c r="L301" s="769">
        <f t="shared" si="226"/>
        <v>0</v>
      </c>
      <c r="M301" s="769">
        <f t="shared" si="226"/>
        <v>0</v>
      </c>
      <c r="N301" s="770">
        <f t="shared" si="226"/>
        <v>0</v>
      </c>
      <c r="O301" s="771">
        <f t="shared" si="227"/>
        <v>0</v>
      </c>
      <c r="P301" s="768"/>
      <c r="Q301" s="769"/>
      <c r="R301" s="769"/>
      <c r="S301" s="772"/>
      <c r="T301" s="773">
        <f t="shared" si="228"/>
        <v>50000</v>
      </c>
      <c r="U301" s="774">
        <f t="shared" si="232"/>
        <v>50000</v>
      </c>
      <c r="V301" s="775">
        <f t="shared" si="232"/>
        <v>0</v>
      </c>
      <c r="W301" s="775">
        <f t="shared" si="232"/>
        <v>0</v>
      </c>
      <c r="X301" s="776">
        <f t="shared" si="232"/>
        <v>0</v>
      </c>
      <c r="Y301" s="771">
        <f t="shared" si="230"/>
        <v>150000</v>
      </c>
      <c r="Z301" s="768">
        <f t="shared" si="233"/>
        <v>150000</v>
      </c>
      <c r="AA301" s="769">
        <f t="shared" si="233"/>
        <v>0</v>
      </c>
      <c r="AB301" s="769">
        <f t="shared" si="233"/>
        <v>0</v>
      </c>
      <c r="AC301" s="770">
        <f t="shared" si="233"/>
        <v>0</v>
      </c>
    </row>
    <row r="302" spans="1:29" hidden="1" x14ac:dyDescent="0.2">
      <c r="A302" s="1312"/>
      <c r="B302" s="1275"/>
      <c r="C302" s="1275"/>
      <c r="D302" s="1275"/>
      <c r="E302" s="1275"/>
      <c r="F302" s="1314">
        <v>17</v>
      </c>
      <c r="G302" s="1308" t="s">
        <v>126</v>
      </c>
      <c r="H302" s="1310" t="s">
        <v>127</v>
      </c>
      <c r="I302" s="314" t="s">
        <v>72</v>
      </c>
      <c r="J302" s="280">
        <f t="shared" si="226"/>
        <v>0</v>
      </c>
      <c r="K302" s="281">
        <f t="shared" si="226"/>
        <v>0</v>
      </c>
      <c r="L302" s="282">
        <f t="shared" si="226"/>
        <v>0</v>
      </c>
      <c r="M302" s="282">
        <f t="shared" si="226"/>
        <v>0</v>
      </c>
      <c r="N302" s="283">
        <f t="shared" si="226"/>
        <v>0</v>
      </c>
      <c r="O302" s="284">
        <f t="shared" si="227"/>
        <v>0</v>
      </c>
      <c r="P302" s="281"/>
      <c r="Q302" s="282"/>
      <c r="R302" s="282"/>
      <c r="S302" s="285"/>
      <c r="T302" s="286">
        <f t="shared" si="228"/>
        <v>0</v>
      </c>
      <c r="U302" s="287">
        <f t="shared" si="232"/>
        <v>0</v>
      </c>
      <c r="V302" s="288">
        <f t="shared" si="232"/>
        <v>0</v>
      </c>
      <c r="W302" s="288">
        <f t="shared" si="232"/>
        <v>0</v>
      </c>
      <c r="X302" s="289">
        <f t="shared" si="232"/>
        <v>0</v>
      </c>
      <c r="Y302" s="280">
        <f t="shared" si="230"/>
        <v>0</v>
      </c>
      <c r="Z302" s="281">
        <f>Z71*1000</f>
        <v>0</v>
      </c>
      <c r="AA302" s="282"/>
      <c r="AB302" s="282"/>
      <c r="AC302" s="283"/>
    </row>
    <row r="303" spans="1:29" hidden="1" x14ac:dyDescent="0.2">
      <c r="A303" s="1313"/>
      <c r="B303" s="1276"/>
      <c r="C303" s="1276"/>
      <c r="D303" s="1276"/>
      <c r="E303" s="1276"/>
      <c r="F303" s="1315"/>
      <c r="G303" s="1309"/>
      <c r="H303" s="1311"/>
      <c r="I303" s="766" t="s">
        <v>73</v>
      </c>
      <c r="J303" s="767">
        <f t="shared" si="226"/>
        <v>0</v>
      </c>
      <c r="K303" s="768">
        <f t="shared" si="226"/>
        <v>0</v>
      </c>
      <c r="L303" s="769">
        <f t="shared" si="226"/>
        <v>0</v>
      </c>
      <c r="M303" s="769">
        <f t="shared" si="226"/>
        <v>0</v>
      </c>
      <c r="N303" s="770">
        <f t="shared" si="226"/>
        <v>0</v>
      </c>
      <c r="O303" s="771">
        <f t="shared" si="227"/>
        <v>0</v>
      </c>
      <c r="P303" s="768"/>
      <c r="Q303" s="769"/>
      <c r="R303" s="769"/>
      <c r="S303" s="772"/>
      <c r="T303" s="773">
        <f t="shared" si="228"/>
        <v>0</v>
      </c>
      <c r="U303" s="774">
        <f t="shared" si="232"/>
        <v>0</v>
      </c>
      <c r="V303" s="775">
        <f t="shared" si="232"/>
        <v>0</v>
      </c>
      <c r="W303" s="775">
        <f t="shared" si="232"/>
        <v>0</v>
      </c>
      <c r="X303" s="779">
        <f t="shared" si="232"/>
        <v>0</v>
      </c>
      <c r="Y303" s="767">
        <f t="shared" si="230"/>
        <v>0</v>
      </c>
      <c r="Z303" s="768">
        <f>Z72*1000</f>
        <v>0</v>
      </c>
      <c r="AA303" s="769">
        <f t="shared" ref="AA303:AC305" si="234">AA72*1000</f>
        <v>0</v>
      </c>
      <c r="AB303" s="769">
        <f t="shared" si="234"/>
        <v>0</v>
      </c>
      <c r="AC303" s="770">
        <f t="shared" si="234"/>
        <v>0</v>
      </c>
    </row>
    <row r="304" spans="1:29" x14ac:dyDescent="0.2">
      <c r="A304" s="1312"/>
      <c r="B304" s="1275"/>
      <c r="C304" s="1275"/>
      <c r="D304" s="1275"/>
      <c r="E304" s="1275"/>
      <c r="F304" s="1314" t="s">
        <v>128</v>
      </c>
      <c r="G304" s="1308" t="s">
        <v>129</v>
      </c>
      <c r="H304" s="1310" t="s">
        <v>130</v>
      </c>
      <c r="I304" s="279" t="s">
        <v>72</v>
      </c>
      <c r="J304" s="280">
        <f t="shared" si="226"/>
        <v>470000</v>
      </c>
      <c r="K304" s="281">
        <f t="shared" si="226"/>
        <v>470000</v>
      </c>
      <c r="L304" s="282">
        <f t="shared" si="226"/>
        <v>0</v>
      </c>
      <c r="M304" s="282">
        <f t="shared" si="226"/>
        <v>0</v>
      </c>
      <c r="N304" s="283">
        <f t="shared" si="226"/>
        <v>0</v>
      </c>
      <c r="O304" s="284">
        <f t="shared" si="227"/>
        <v>0</v>
      </c>
      <c r="P304" s="281"/>
      <c r="Q304" s="282"/>
      <c r="R304" s="282"/>
      <c r="S304" s="285"/>
      <c r="T304" s="286">
        <f t="shared" si="228"/>
        <v>60000</v>
      </c>
      <c r="U304" s="287">
        <f t="shared" si="232"/>
        <v>60000</v>
      </c>
      <c r="V304" s="288">
        <f t="shared" si="232"/>
        <v>0</v>
      </c>
      <c r="W304" s="288">
        <f t="shared" si="232"/>
        <v>0</v>
      </c>
      <c r="X304" s="289">
        <f t="shared" si="232"/>
        <v>0</v>
      </c>
      <c r="Y304" s="280">
        <f t="shared" si="230"/>
        <v>410000</v>
      </c>
      <c r="Z304" s="281">
        <f>Z73*1000</f>
        <v>410000</v>
      </c>
      <c r="AA304" s="282">
        <f t="shared" si="234"/>
        <v>0</v>
      </c>
      <c r="AB304" s="282">
        <f t="shared" si="234"/>
        <v>0</v>
      </c>
      <c r="AC304" s="283">
        <f t="shared" si="234"/>
        <v>0</v>
      </c>
    </row>
    <row r="305" spans="1:29" x14ac:dyDescent="0.2">
      <c r="A305" s="1313"/>
      <c r="B305" s="1276"/>
      <c r="C305" s="1276"/>
      <c r="D305" s="1276"/>
      <c r="E305" s="1276"/>
      <c r="F305" s="1315"/>
      <c r="G305" s="1309"/>
      <c r="H305" s="1311"/>
      <c r="I305" s="766" t="s">
        <v>73</v>
      </c>
      <c r="J305" s="767">
        <f t="shared" si="226"/>
        <v>470000</v>
      </c>
      <c r="K305" s="768">
        <f t="shared" si="226"/>
        <v>470000</v>
      </c>
      <c r="L305" s="769">
        <f t="shared" si="226"/>
        <v>0</v>
      </c>
      <c r="M305" s="769">
        <f t="shared" si="226"/>
        <v>0</v>
      </c>
      <c r="N305" s="770">
        <f t="shared" si="226"/>
        <v>0</v>
      </c>
      <c r="O305" s="771">
        <f t="shared" si="227"/>
        <v>0</v>
      </c>
      <c r="P305" s="768"/>
      <c r="Q305" s="769"/>
      <c r="R305" s="769"/>
      <c r="S305" s="772"/>
      <c r="T305" s="773">
        <f t="shared" si="228"/>
        <v>60000</v>
      </c>
      <c r="U305" s="774">
        <f t="shared" si="232"/>
        <v>60000</v>
      </c>
      <c r="V305" s="775">
        <f t="shared" si="232"/>
        <v>0</v>
      </c>
      <c r="W305" s="775">
        <f t="shared" si="232"/>
        <v>0</v>
      </c>
      <c r="X305" s="776">
        <f t="shared" si="232"/>
        <v>0</v>
      </c>
      <c r="Y305" s="771">
        <f t="shared" si="230"/>
        <v>410000</v>
      </c>
      <c r="Z305" s="768">
        <f>Z74*1000</f>
        <v>410000</v>
      </c>
      <c r="AA305" s="769">
        <f t="shared" si="234"/>
        <v>0</v>
      </c>
      <c r="AB305" s="769">
        <f t="shared" si="234"/>
        <v>0</v>
      </c>
      <c r="AC305" s="770">
        <f t="shared" si="234"/>
        <v>0</v>
      </c>
    </row>
    <row r="306" spans="1:29" x14ac:dyDescent="0.2">
      <c r="A306" s="1312"/>
      <c r="B306" s="1275"/>
      <c r="C306" s="1275"/>
      <c r="D306" s="1275"/>
      <c r="E306" s="1277" t="s">
        <v>131</v>
      </c>
      <c r="F306" s="1322"/>
      <c r="G306" s="1318" t="s">
        <v>132</v>
      </c>
      <c r="H306" s="1316" t="s">
        <v>133</v>
      </c>
      <c r="I306" s="199" t="s">
        <v>72</v>
      </c>
      <c r="J306" s="315">
        <f>K306+L306+M306+N306</f>
        <v>30300000</v>
      </c>
      <c r="K306" s="316">
        <f t="shared" ref="K306:N307" si="235">K308+K310</f>
        <v>30300000</v>
      </c>
      <c r="L306" s="317">
        <f t="shared" si="235"/>
        <v>0</v>
      </c>
      <c r="M306" s="317">
        <f t="shared" si="235"/>
        <v>0</v>
      </c>
      <c r="N306" s="318">
        <f t="shared" si="235"/>
        <v>0</v>
      </c>
      <c r="O306" s="319">
        <f t="shared" si="227"/>
        <v>0</v>
      </c>
      <c r="P306" s="320">
        <f>P308+P310</f>
        <v>0</v>
      </c>
      <c r="Q306" s="321">
        <f t="shared" ref="Q306:S307" si="236">Q308+Q310</f>
        <v>0</v>
      </c>
      <c r="R306" s="321">
        <f t="shared" si="236"/>
        <v>0</v>
      </c>
      <c r="S306" s="322">
        <f t="shared" si="236"/>
        <v>0</v>
      </c>
      <c r="T306" s="323">
        <f t="shared" si="228"/>
        <v>5100000</v>
      </c>
      <c r="U306" s="324">
        <f>U308+U310</f>
        <v>5100000</v>
      </c>
      <c r="V306" s="325">
        <f t="shared" ref="V306:X307" si="237">V308+V310</f>
        <v>0</v>
      </c>
      <c r="W306" s="325">
        <f t="shared" si="237"/>
        <v>0</v>
      </c>
      <c r="X306" s="326">
        <f t="shared" si="237"/>
        <v>0</v>
      </c>
      <c r="Y306" s="327">
        <f t="shared" si="230"/>
        <v>25200000</v>
      </c>
      <c r="Z306" s="328">
        <f>Z308+Z310</f>
        <v>25200000</v>
      </c>
      <c r="AA306" s="329">
        <f t="shared" ref="AA306:AC307" si="238">AA308+AA310</f>
        <v>0</v>
      </c>
      <c r="AB306" s="329">
        <f t="shared" si="238"/>
        <v>0</v>
      </c>
      <c r="AC306" s="330">
        <f t="shared" si="238"/>
        <v>0</v>
      </c>
    </row>
    <row r="307" spans="1:29" x14ac:dyDescent="0.2">
      <c r="A307" s="1313"/>
      <c r="B307" s="1276"/>
      <c r="C307" s="1276"/>
      <c r="D307" s="1276"/>
      <c r="E307" s="1278"/>
      <c r="F307" s="1323"/>
      <c r="G307" s="1319"/>
      <c r="H307" s="1317"/>
      <c r="I307" s="331" t="s">
        <v>73</v>
      </c>
      <c r="J307" s="332">
        <f>K307+L307+M307+N307</f>
        <v>30300000</v>
      </c>
      <c r="K307" s="333">
        <f t="shared" si="235"/>
        <v>11720000</v>
      </c>
      <c r="L307" s="334">
        <f t="shared" si="235"/>
        <v>6470000</v>
      </c>
      <c r="M307" s="334">
        <f t="shared" si="235"/>
        <v>6440000</v>
      </c>
      <c r="N307" s="335">
        <f t="shared" si="235"/>
        <v>5670000</v>
      </c>
      <c r="O307" s="336">
        <f t="shared" si="227"/>
        <v>0</v>
      </c>
      <c r="P307" s="337">
        <f>P309+P311</f>
        <v>0</v>
      </c>
      <c r="Q307" s="338">
        <f t="shared" si="236"/>
        <v>0</v>
      </c>
      <c r="R307" s="338">
        <f t="shared" si="236"/>
        <v>0</v>
      </c>
      <c r="S307" s="339">
        <f t="shared" si="236"/>
        <v>0</v>
      </c>
      <c r="T307" s="340">
        <f t="shared" si="228"/>
        <v>5100000</v>
      </c>
      <c r="U307" s="341">
        <f>U309+U311</f>
        <v>2000000</v>
      </c>
      <c r="V307" s="342">
        <f t="shared" si="237"/>
        <v>1100000</v>
      </c>
      <c r="W307" s="342">
        <f t="shared" si="237"/>
        <v>1070000</v>
      </c>
      <c r="X307" s="343">
        <f t="shared" si="237"/>
        <v>930000</v>
      </c>
      <c r="Y307" s="344">
        <f t="shared" si="230"/>
        <v>25200000</v>
      </c>
      <c r="Z307" s="345">
        <f>Z309+Z311</f>
        <v>9720000</v>
      </c>
      <c r="AA307" s="346">
        <f t="shared" si="238"/>
        <v>5370000</v>
      </c>
      <c r="AB307" s="346">
        <f t="shared" si="238"/>
        <v>5370000</v>
      </c>
      <c r="AC307" s="347">
        <f t="shared" si="238"/>
        <v>4740000</v>
      </c>
    </row>
    <row r="308" spans="1:29" x14ac:dyDescent="0.2">
      <c r="A308" s="1312"/>
      <c r="B308" s="1275"/>
      <c r="C308" s="1275"/>
      <c r="D308" s="1275"/>
      <c r="E308" s="1275"/>
      <c r="F308" s="1314" t="s">
        <v>131</v>
      </c>
      <c r="G308" s="1308" t="s">
        <v>134</v>
      </c>
      <c r="H308" s="1310" t="s">
        <v>135</v>
      </c>
      <c r="I308" s="279" t="s">
        <v>72</v>
      </c>
      <c r="J308" s="280">
        <f t="shared" ref="J308:N311" si="239">O308+T308+Y308</f>
        <v>25050000</v>
      </c>
      <c r="K308" s="281">
        <f t="shared" si="239"/>
        <v>25050000</v>
      </c>
      <c r="L308" s="282">
        <f t="shared" si="239"/>
        <v>0</v>
      </c>
      <c r="M308" s="282">
        <f t="shared" si="239"/>
        <v>0</v>
      </c>
      <c r="N308" s="283">
        <f t="shared" si="239"/>
        <v>0</v>
      </c>
      <c r="O308" s="284">
        <f t="shared" si="227"/>
        <v>0</v>
      </c>
      <c r="P308" s="281"/>
      <c r="Q308" s="282"/>
      <c r="R308" s="282"/>
      <c r="S308" s="285"/>
      <c r="T308" s="286">
        <f t="shared" si="228"/>
        <v>4200000</v>
      </c>
      <c r="U308" s="287">
        <f t="shared" ref="U308:X311" si="240">U77*1000</f>
        <v>4200000</v>
      </c>
      <c r="V308" s="288">
        <f t="shared" si="240"/>
        <v>0</v>
      </c>
      <c r="W308" s="288">
        <f t="shared" si="240"/>
        <v>0</v>
      </c>
      <c r="X308" s="289">
        <f t="shared" si="240"/>
        <v>0</v>
      </c>
      <c r="Y308" s="280">
        <f t="shared" si="230"/>
        <v>20850000</v>
      </c>
      <c r="Z308" s="281">
        <f t="shared" ref="Z308:AC311" si="241">Z77*1000</f>
        <v>20850000</v>
      </c>
      <c r="AA308" s="282">
        <f t="shared" si="241"/>
        <v>0</v>
      </c>
      <c r="AB308" s="282">
        <f t="shared" si="241"/>
        <v>0</v>
      </c>
      <c r="AC308" s="283">
        <f t="shared" si="241"/>
        <v>0</v>
      </c>
    </row>
    <row r="309" spans="1:29" x14ac:dyDescent="0.2">
      <c r="A309" s="1313"/>
      <c r="B309" s="1276"/>
      <c r="C309" s="1276"/>
      <c r="D309" s="1276"/>
      <c r="E309" s="1276"/>
      <c r="F309" s="1315"/>
      <c r="G309" s="1309"/>
      <c r="H309" s="1311"/>
      <c r="I309" s="766" t="s">
        <v>73</v>
      </c>
      <c r="J309" s="767">
        <f t="shared" si="239"/>
        <v>25050000</v>
      </c>
      <c r="K309" s="768">
        <f t="shared" si="239"/>
        <v>6470000</v>
      </c>
      <c r="L309" s="769">
        <f t="shared" si="239"/>
        <v>6470000</v>
      </c>
      <c r="M309" s="769">
        <f t="shared" si="239"/>
        <v>6440000</v>
      </c>
      <c r="N309" s="770">
        <f t="shared" si="239"/>
        <v>5670000</v>
      </c>
      <c r="O309" s="771">
        <f t="shared" si="227"/>
        <v>0</v>
      </c>
      <c r="P309" s="768"/>
      <c r="Q309" s="769"/>
      <c r="R309" s="769"/>
      <c r="S309" s="772"/>
      <c r="T309" s="773">
        <f t="shared" si="228"/>
        <v>4200000</v>
      </c>
      <c r="U309" s="774">
        <f t="shared" si="240"/>
        <v>1100000</v>
      </c>
      <c r="V309" s="775">
        <f t="shared" si="240"/>
        <v>1100000</v>
      </c>
      <c r="W309" s="775">
        <f t="shared" si="240"/>
        <v>1070000</v>
      </c>
      <c r="X309" s="776">
        <f t="shared" si="240"/>
        <v>930000</v>
      </c>
      <c r="Y309" s="771">
        <f t="shared" si="230"/>
        <v>20850000</v>
      </c>
      <c r="Z309" s="768">
        <f t="shared" si="241"/>
        <v>5370000</v>
      </c>
      <c r="AA309" s="769">
        <f t="shared" si="241"/>
        <v>5370000</v>
      </c>
      <c r="AB309" s="769">
        <f t="shared" si="241"/>
        <v>5370000</v>
      </c>
      <c r="AC309" s="770">
        <f t="shared" si="241"/>
        <v>4740000</v>
      </c>
    </row>
    <row r="310" spans="1:29" x14ac:dyDescent="0.2">
      <c r="A310" s="1312"/>
      <c r="B310" s="1275"/>
      <c r="C310" s="1275"/>
      <c r="D310" s="1275"/>
      <c r="E310" s="1275"/>
      <c r="F310" s="1320" t="s">
        <v>107</v>
      </c>
      <c r="G310" s="1308" t="s">
        <v>136</v>
      </c>
      <c r="H310" s="1310" t="s">
        <v>137</v>
      </c>
      <c r="I310" s="279" t="s">
        <v>72</v>
      </c>
      <c r="J310" s="280">
        <f t="shared" si="239"/>
        <v>5250000</v>
      </c>
      <c r="K310" s="281">
        <f t="shared" si="239"/>
        <v>5250000</v>
      </c>
      <c r="L310" s="282">
        <f t="shared" si="239"/>
        <v>0</v>
      </c>
      <c r="M310" s="282">
        <f t="shared" si="239"/>
        <v>0</v>
      </c>
      <c r="N310" s="283">
        <f t="shared" si="239"/>
        <v>0</v>
      </c>
      <c r="O310" s="284">
        <f t="shared" si="227"/>
        <v>0</v>
      </c>
      <c r="P310" s="281"/>
      <c r="Q310" s="282"/>
      <c r="R310" s="282"/>
      <c r="S310" s="285"/>
      <c r="T310" s="286">
        <f t="shared" si="228"/>
        <v>900000</v>
      </c>
      <c r="U310" s="287">
        <f t="shared" si="240"/>
        <v>900000</v>
      </c>
      <c r="V310" s="288">
        <f t="shared" si="240"/>
        <v>0</v>
      </c>
      <c r="W310" s="288">
        <f t="shared" si="240"/>
        <v>0</v>
      </c>
      <c r="X310" s="289">
        <f t="shared" si="240"/>
        <v>0</v>
      </c>
      <c r="Y310" s="280">
        <f t="shared" si="230"/>
        <v>4350000</v>
      </c>
      <c r="Z310" s="281">
        <f t="shared" si="241"/>
        <v>4350000</v>
      </c>
      <c r="AA310" s="282">
        <f t="shared" si="241"/>
        <v>0</v>
      </c>
      <c r="AB310" s="282">
        <f t="shared" si="241"/>
        <v>0</v>
      </c>
      <c r="AC310" s="283">
        <f t="shared" si="241"/>
        <v>0</v>
      </c>
    </row>
    <row r="311" spans="1:29" s="763" customFormat="1" x14ac:dyDescent="0.2">
      <c r="A311" s="1313"/>
      <c r="B311" s="1276"/>
      <c r="C311" s="1276"/>
      <c r="D311" s="1276"/>
      <c r="E311" s="1276"/>
      <c r="F311" s="1321"/>
      <c r="G311" s="1309"/>
      <c r="H311" s="1311"/>
      <c r="I311" s="766" t="s">
        <v>73</v>
      </c>
      <c r="J311" s="767">
        <f t="shared" si="239"/>
        <v>5250000</v>
      </c>
      <c r="K311" s="768">
        <f t="shared" si="239"/>
        <v>5250000</v>
      </c>
      <c r="L311" s="769">
        <f t="shared" si="239"/>
        <v>0</v>
      </c>
      <c r="M311" s="769">
        <f t="shared" si="239"/>
        <v>0</v>
      </c>
      <c r="N311" s="770">
        <f t="shared" si="239"/>
        <v>0</v>
      </c>
      <c r="O311" s="771">
        <f t="shared" si="227"/>
        <v>0</v>
      </c>
      <c r="P311" s="768"/>
      <c r="Q311" s="769"/>
      <c r="R311" s="769"/>
      <c r="S311" s="772"/>
      <c r="T311" s="773">
        <f t="shared" si="228"/>
        <v>900000</v>
      </c>
      <c r="U311" s="774">
        <f t="shared" si="240"/>
        <v>900000</v>
      </c>
      <c r="V311" s="775">
        <f t="shared" si="240"/>
        <v>0</v>
      </c>
      <c r="W311" s="775">
        <f t="shared" si="240"/>
        <v>0</v>
      </c>
      <c r="X311" s="776">
        <f t="shared" si="240"/>
        <v>0</v>
      </c>
      <c r="Y311" s="771">
        <f t="shared" si="230"/>
        <v>4350000</v>
      </c>
      <c r="Z311" s="768">
        <f t="shared" si="241"/>
        <v>4350000</v>
      </c>
      <c r="AA311" s="769">
        <f t="shared" si="241"/>
        <v>0</v>
      </c>
      <c r="AB311" s="769">
        <f t="shared" si="241"/>
        <v>0</v>
      </c>
      <c r="AC311" s="770">
        <f t="shared" si="241"/>
        <v>0</v>
      </c>
    </row>
    <row r="312" spans="1:29" x14ac:dyDescent="0.2">
      <c r="A312" s="1312"/>
      <c r="B312" s="1275"/>
      <c r="C312" s="1275"/>
      <c r="D312" s="1275"/>
      <c r="E312" s="1277" t="s">
        <v>66</v>
      </c>
      <c r="F312" s="1324"/>
      <c r="G312" s="1318" t="s">
        <v>138</v>
      </c>
      <c r="H312" s="1316" t="s">
        <v>139</v>
      </c>
      <c r="I312" s="199" t="s">
        <v>72</v>
      </c>
      <c r="J312" s="315">
        <f>K312+L312+M312+N312</f>
        <v>9523000</v>
      </c>
      <c r="K312" s="316">
        <f t="shared" ref="K312:N313" si="242">K314+K316+K318+K320+K322+K324</f>
        <v>9523000</v>
      </c>
      <c r="L312" s="317">
        <f t="shared" si="242"/>
        <v>0</v>
      </c>
      <c r="M312" s="317">
        <f t="shared" si="242"/>
        <v>0</v>
      </c>
      <c r="N312" s="318">
        <f t="shared" si="242"/>
        <v>0</v>
      </c>
      <c r="O312" s="319">
        <f>P312+Q312+R312+S312</f>
        <v>0</v>
      </c>
      <c r="P312" s="320">
        <f t="shared" ref="P312:S313" si="243">P314+P316+P318+P320+P322+P324</f>
        <v>0</v>
      </c>
      <c r="Q312" s="321">
        <f t="shared" si="243"/>
        <v>0</v>
      </c>
      <c r="R312" s="321">
        <f t="shared" si="243"/>
        <v>0</v>
      </c>
      <c r="S312" s="322">
        <f t="shared" si="243"/>
        <v>0</v>
      </c>
      <c r="T312" s="323">
        <f>U312+V312+W312+X312</f>
        <v>1396000</v>
      </c>
      <c r="U312" s="324">
        <f t="shared" ref="U312:X313" si="244">U314+U316+U318+U320+U322+U324</f>
        <v>1396000</v>
      </c>
      <c r="V312" s="325">
        <f t="shared" si="244"/>
        <v>0</v>
      </c>
      <c r="W312" s="325">
        <f t="shared" si="244"/>
        <v>0</v>
      </c>
      <c r="X312" s="326">
        <f t="shared" si="244"/>
        <v>0</v>
      </c>
      <c r="Y312" s="327">
        <f>Z312+AA312+AB312+AC312</f>
        <v>8127000</v>
      </c>
      <c r="Z312" s="328">
        <f>Z314+Z316+Z318+Z320+Z322+Z324</f>
        <v>8127000</v>
      </c>
      <c r="AA312" s="329">
        <f t="shared" ref="AA312:AC313" si="245">AA314+AA316+AA318+AA320+AA322+AA324</f>
        <v>0</v>
      </c>
      <c r="AB312" s="329">
        <f t="shared" si="245"/>
        <v>0</v>
      </c>
      <c r="AC312" s="330">
        <f t="shared" si="245"/>
        <v>0</v>
      </c>
    </row>
    <row r="313" spans="1:29" x14ac:dyDescent="0.2">
      <c r="A313" s="1313"/>
      <c r="B313" s="1276"/>
      <c r="C313" s="1276"/>
      <c r="D313" s="1276"/>
      <c r="E313" s="1278"/>
      <c r="F313" s="1325"/>
      <c r="G313" s="1319"/>
      <c r="H313" s="1317"/>
      <c r="I313" s="331" t="s">
        <v>73</v>
      </c>
      <c r="J313" s="332">
        <f>K313+L313+M313+N313</f>
        <v>9523000</v>
      </c>
      <c r="K313" s="333">
        <f t="shared" si="242"/>
        <v>3384000</v>
      </c>
      <c r="L313" s="334">
        <f t="shared" si="242"/>
        <v>2124000</v>
      </c>
      <c r="M313" s="334">
        <f t="shared" si="242"/>
        <v>2074000</v>
      </c>
      <c r="N313" s="335">
        <f t="shared" si="242"/>
        <v>1941000</v>
      </c>
      <c r="O313" s="336">
        <f>P313+Q313+R313+S313</f>
        <v>0</v>
      </c>
      <c r="P313" s="337">
        <f t="shared" si="243"/>
        <v>0</v>
      </c>
      <c r="Q313" s="338">
        <f t="shared" si="243"/>
        <v>0</v>
      </c>
      <c r="R313" s="338">
        <f t="shared" si="243"/>
        <v>0</v>
      </c>
      <c r="S313" s="339">
        <f t="shared" si="243"/>
        <v>0</v>
      </c>
      <c r="T313" s="340">
        <f>U313+V313+W313+X313</f>
        <v>1396000</v>
      </c>
      <c r="U313" s="341">
        <f t="shared" si="244"/>
        <v>514000</v>
      </c>
      <c r="V313" s="342">
        <f t="shared" si="244"/>
        <v>314000</v>
      </c>
      <c r="W313" s="342">
        <f t="shared" si="244"/>
        <v>314000</v>
      </c>
      <c r="X313" s="343">
        <f t="shared" si="244"/>
        <v>254000</v>
      </c>
      <c r="Y313" s="344">
        <f>Z313+AA313+AB313+AC313</f>
        <v>8127000</v>
      </c>
      <c r="Z313" s="345">
        <f>Z315+Z317+Z319+Z321+Z323+Z325</f>
        <v>2870000</v>
      </c>
      <c r="AA313" s="346">
        <f t="shared" si="245"/>
        <v>1810000</v>
      </c>
      <c r="AB313" s="346">
        <f t="shared" si="245"/>
        <v>1760000</v>
      </c>
      <c r="AC313" s="347">
        <f t="shared" si="245"/>
        <v>1687000</v>
      </c>
    </row>
    <row r="314" spans="1:29" x14ac:dyDescent="0.2">
      <c r="A314" s="1312"/>
      <c r="B314" s="1275"/>
      <c r="C314" s="1275"/>
      <c r="D314" s="1275"/>
      <c r="E314" s="1275"/>
      <c r="F314" s="1314" t="s">
        <v>74</v>
      </c>
      <c r="G314" s="1308" t="s">
        <v>140</v>
      </c>
      <c r="H314" s="1310" t="s">
        <v>141</v>
      </c>
      <c r="I314" s="279" t="s">
        <v>72</v>
      </c>
      <c r="J314" s="280">
        <f t="shared" ref="J314:N325" si="246">O314+T314+Y314</f>
        <v>650000</v>
      </c>
      <c r="K314" s="281">
        <f t="shared" si="246"/>
        <v>650000</v>
      </c>
      <c r="L314" s="282">
        <f t="shared" si="246"/>
        <v>0</v>
      </c>
      <c r="M314" s="282">
        <f t="shared" si="246"/>
        <v>0</v>
      </c>
      <c r="N314" s="283">
        <f t="shared" si="246"/>
        <v>0</v>
      </c>
      <c r="O314" s="284">
        <f t="shared" ref="O314:O351" si="247">P314+Q314+R314+S314</f>
        <v>0</v>
      </c>
      <c r="P314" s="281"/>
      <c r="Q314" s="282"/>
      <c r="R314" s="282"/>
      <c r="S314" s="285"/>
      <c r="T314" s="286">
        <f t="shared" ref="T314:T371" si="248">U314+V314+W314+X314</f>
        <v>50000</v>
      </c>
      <c r="U314" s="287">
        <f t="shared" ref="U314:X325" si="249">U83*1000</f>
        <v>50000</v>
      </c>
      <c r="V314" s="288">
        <f t="shared" si="249"/>
        <v>0</v>
      </c>
      <c r="W314" s="288">
        <f t="shared" si="249"/>
        <v>0</v>
      </c>
      <c r="X314" s="289">
        <f t="shared" si="249"/>
        <v>0</v>
      </c>
      <c r="Y314" s="280">
        <f t="shared" ref="Y314:Y371" si="250">Z314+AA314+AB314+AC314</f>
        <v>600000</v>
      </c>
      <c r="Z314" s="281">
        <f t="shared" ref="Z314:AC325" si="251">Z83*1000</f>
        <v>600000</v>
      </c>
      <c r="AA314" s="282">
        <f t="shared" si="251"/>
        <v>0</v>
      </c>
      <c r="AB314" s="282">
        <f t="shared" si="251"/>
        <v>0</v>
      </c>
      <c r="AC314" s="283">
        <f t="shared" si="251"/>
        <v>0</v>
      </c>
    </row>
    <row r="315" spans="1:29" x14ac:dyDescent="0.2">
      <c r="A315" s="1313"/>
      <c r="B315" s="1276"/>
      <c r="C315" s="1276"/>
      <c r="D315" s="1276"/>
      <c r="E315" s="1276"/>
      <c r="F315" s="1315"/>
      <c r="G315" s="1309"/>
      <c r="H315" s="1311"/>
      <c r="I315" s="766" t="s">
        <v>73</v>
      </c>
      <c r="J315" s="767">
        <f t="shared" si="246"/>
        <v>650000</v>
      </c>
      <c r="K315" s="768">
        <f t="shared" si="246"/>
        <v>650000</v>
      </c>
      <c r="L315" s="769">
        <f t="shared" si="246"/>
        <v>0</v>
      </c>
      <c r="M315" s="769">
        <f t="shared" si="246"/>
        <v>0</v>
      </c>
      <c r="N315" s="770">
        <f t="shared" si="246"/>
        <v>0</v>
      </c>
      <c r="O315" s="771">
        <f t="shared" si="247"/>
        <v>0</v>
      </c>
      <c r="P315" s="768"/>
      <c r="Q315" s="769"/>
      <c r="R315" s="769"/>
      <c r="S315" s="772"/>
      <c r="T315" s="773">
        <f t="shared" si="248"/>
        <v>50000</v>
      </c>
      <c r="U315" s="774">
        <f t="shared" si="249"/>
        <v>50000</v>
      </c>
      <c r="V315" s="775">
        <f t="shared" si="249"/>
        <v>0</v>
      </c>
      <c r="W315" s="775">
        <f t="shared" si="249"/>
        <v>0</v>
      </c>
      <c r="X315" s="776">
        <f t="shared" si="249"/>
        <v>0</v>
      </c>
      <c r="Y315" s="771">
        <f t="shared" si="250"/>
        <v>600000</v>
      </c>
      <c r="Z315" s="768">
        <f t="shared" si="251"/>
        <v>600000</v>
      </c>
      <c r="AA315" s="769">
        <f t="shared" si="251"/>
        <v>0</v>
      </c>
      <c r="AB315" s="769">
        <f t="shared" si="251"/>
        <v>0</v>
      </c>
      <c r="AC315" s="770">
        <f t="shared" si="251"/>
        <v>0</v>
      </c>
    </row>
    <row r="316" spans="1:29" x14ac:dyDescent="0.2">
      <c r="A316" s="1312"/>
      <c r="B316" s="1275"/>
      <c r="C316" s="1275"/>
      <c r="D316" s="1275"/>
      <c r="E316" s="1275"/>
      <c r="F316" s="1314" t="s">
        <v>131</v>
      </c>
      <c r="G316" s="1308" t="s">
        <v>142</v>
      </c>
      <c r="H316" s="1310" t="s">
        <v>143</v>
      </c>
      <c r="I316" s="279" t="s">
        <v>72</v>
      </c>
      <c r="J316" s="280">
        <f t="shared" si="246"/>
        <v>105000</v>
      </c>
      <c r="K316" s="281">
        <f t="shared" si="246"/>
        <v>105000</v>
      </c>
      <c r="L316" s="282">
        <f t="shared" si="246"/>
        <v>0</v>
      </c>
      <c r="M316" s="282">
        <f t="shared" si="246"/>
        <v>0</v>
      </c>
      <c r="N316" s="283">
        <f t="shared" si="246"/>
        <v>0</v>
      </c>
      <c r="O316" s="284">
        <f t="shared" si="247"/>
        <v>0</v>
      </c>
      <c r="P316" s="281"/>
      <c r="Q316" s="282"/>
      <c r="R316" s="282"/>
      <c r="S316" s="285"/>
      <c r="T316" s="286">
        <f t="shared" si="248"/>
        <v>30000</v>
      </c>
      <c r="U316" s="287">
        <f t="shared" si="249"/>
        <v>30000</v>
      </c>
      <c r="V316" s="288">
        <f t="shared" si="249"/>
        <v>0</v>
      </c>
      <c r="W316" s="288">
        <f t="shared" si="249"/>
        <v>0</v>
      </c>
      <c r="X316" s="289">
        <f t="shared" si="249"/>
        <v>0</v>
      </c>
      <c r="Y316" s="280">
        <f t="shared" si="250"/>
        <v>75000</v>
      </c>
      <c r="Z316" s="281">
        <f t="shared" si="251"/>
        <v>75000</v>
      </c>
      <c r="AA316" s="282">
        <f t="shared" si="251"/>
        <v>0</v>
      </c>
      <c r="AB316" s="282">
        <f t="shared" si="251"/>
        <v>0</v>
      </c>
      <c r="AC316" s="283">
        <f t="shared" si="251"/>
        <v>0</v>
      </c>
    </row>
    <row r="317" spans="1:29" x14ac:dyDescent="0.2">
      <c r="A317" s="1313"/>
      <c r="B317" s="1276"/>
      <c r="C317" s="1276"/>
      <c r="D317" s="1276"/>
      <c r="E317" s="1276"/>
      <c r="F317" s="1315"/>
      <c r="G317" s="1309"/>
      <c r="H317" s="1311"/>
      <c r="I317" s="766" t="s">
        <v>73</v>
      </c>
      <c r="J317" s="767">
        <f t="shared" si="246"/>
        <v>105000</v>
      </c>
      <c r="K317" s="768">
        <f t="shared" si="246"/>
        <v>105000</v>
      </c>
      <c r="L317" s="769">
        <f t="shared" si="246"/>
        <v>0</v>
      </c>
      <c r="M317" s="769">
        <f t="shared" si="246"/>
        <v>0</v>
      </c>
      <c r="N317" s="770">
        <f t="shared" si="246"/>
        <v>0</v>
      </c>
      <c r="O317" s="771">
        <f t="shared" si="247"/>
        <v>0</v>
      </c>
      <c r="P317" s="768"/>
      <c r="Q317" s="769"/>
      <c r="R317" s="769"/>
      <c r="S317" s="772"/>
      <c r="T317" s="773">
        <f t="shared" si="248"/>
        <v>30000</v>
      </c>
      <c r="U317" s="774">
        <f t="shared" si="249"/>
        <v>30000</v>
      </c>
      <c r="V317" s="775">
        <f t="shared" si="249"/>
        <v>0</v>
      </c>
      <c r="W317" s="775">
        <f t="shared" si="249"/>
        <v>0</v>
      </c>
      <c r="X317" s="776">
        <f t="shared" si="249"/>
        <v>0</v>
      </c>
      <c r="Y317" s="771">
        <f t="shared" si="250"/>
        <v>75000</v>
      </c>
      <c r="Z317" s="768">
        <f t="shared" si="251"/>
        <v>75000</v>
      </c>
      <c r="AA317" s="769">
        <f t="shared" si="251"/>
        <v>0</v>
      </c>
      <c r="AB317" s="769">
        <f t="shared" si="251"/>
        <v>0</v>
      </c>
      <c r="AC317" s="770">
        <f t="shared" si="251"/>
        <v>0</v>
      </c>
    </row>
    <row r="318" spans="1:29" s="763" customFormat="1" ht="15" customHeight="1" x14ac:dyDescent="0.2">
      <c r="A318" s="1312"/>
      <c r="B318" s="1275"/>
      <c r="C318" s="1275"/>
      <c r="D318" s="1275"/>
      <c r="E318" s="1275"/>
      <c r="F318" s="1314" t="s">
        <v>66</v>
      </c>
      <c r="G318" s="1308" t="s">
        <v>144</v>
      </c>
      <c r="H318" s="1310" t="s">
        <v>145</v>
      </c>
      <c r="I318" s="279" t="s">
        <v>72</v>
      </c>
      <c r="J318" s="280">
        <f t="shared" si="246"/>
        <v>240000</v>
      </c>
      <c r="K318" s="281">
        <f t="shared" si="246"/>
        <v>240000</v>
      </c>
      <c r="L318" s="282">
        <f t="shared" si="246"/>
        <v>0</v>
      </c>
      <c r="M318" s="282">
        <f t="shared" si="246"/>
        <v>0</v>
      </c>
      <c r="N318" s="283">
        <f t="shared" si="246"/>
        <v>0</v>
      </c>
      <c r="O318" s="284">
        <f t="shared" si="247"/>
        <v>0</v>
      </c>
      <c r="P318" s="281"/>
      <c r="Q318" s="282"/>
      <c r="R318" s="282"/>
      <c r="S318" s="285"/>
      <c r="T318" s="286">
        <f t="shared" si="248"/>
        <v>40000</v>
      </c>
      <c r="U318" s="287">
        <f t="shared" si="249"/>
        <v>40000</v>
      </c>
      <c r="V318" s="288">
        <f t="shared" si="249"/>
        <v>0</v>
      </c>
      <c r="W318" s="288">
        <f t="shared" si="249"/>
        <v>0</v>
      </c>
      <c r="X318" s="289">
        <f t="shared" si="249"/>
        <v>0</v>
      </c>
      <c r="Y318" s="280">
        <f t="shared" si="250"/>
        <v>200000</v>
      </c>
      <c r="Z318" s="281">
        <f t="shared" si="251"/>
        <v>200000</v>
      </c>
      <c r="AA318" s="282">
        <f t="shared" si="251"/>
        <v>0</v>
      </c>
      <c r="AB318" s="282">
        <f t="shared" si="251"/>
        <v>0</v>
      </c>
      <c r="AC318" s="283">
        <f t="shared" si="251"/>
        <v>0</v>
      </c>
    </row>
    <row r="319" spans="1:29" s="763" customFormat="1" x14ac:dyDescent="0.2">
      <c r="A319" s="1313"/>
      <c r="B319" s="1276"/>
      <c r="C319" s="1276"/>
      <c r="D319" s="1276"/>
      <c r="E319" s="1276"/>
      <c r="F319" s="1315"/>
      <c r="G319" s="1309"/>
      <c r="H319" s="1311"/>
      <c r="I319" s="766" t="s">
        <v>73</v>
      </c>
      <c r="J319" s="767">
        <f t="shared" si="246"/>
        <v>240000</v>
      </c>
      <c r="K319" s="768">
        <f t="shared" si="246"/>
        <v>240000</v>
      </c>
      <c r="L319" s="769">
        <f t="shared" si="246"/>
        <v>0</v>
      </c>
      <c r="M319" s="769">
        <f t="shared" si="246"/>
        <v>0</v>
      </c>
      <c r="N319" s="770">
        <f t="shared" si="246"/>
        <v>0</v>
      </c>
      <c r="O319" s="771">
        <f t="shared" si="247"/>
        <v>0</v>
      </c>
      <c r="P319" s="768"/>
      <c r="Q319" s="769"/>
      <c r="R319" s="769"/>
      <c r="S319" s="772"/>
      <c r="T319" s="773">
        <f t="shared" si="248"/>
        <v>40000</v>
      </c>
      <c r="U319" s="774">
        <f t="shared" si="249"/>
        <v>40000</v>
      </c>
      <c r="V319" s="775">
        <f t="shared" si="249"/>
        <v>0</v>
      </c>
      <c r="W319" s="775">
        <f t="shared" si="249"/>
        <v>0</v>
      </c>
      <c r="X319" s="776">
        <f t="shared" si="249"/>
        <v>0</v>
      </c>
      <c r="Y319" s="771">
        <f t="shared" si="250"/>
        <v>200000</v>
      </c>
      <c r="Z319" s="768">
        <f t="shared" si="251"/>
        <v>200000</v>
      </c>
      <c r="AA319" s="769">
        <f t="shared" si="251"/>
        <v>0</v>
      </c>
      <c r="AB319" s="769">
        <f t="shared" si="251"/>
        <v>0</v>
      </c>
      <c r="AC319" s="770">
        <f t="shared" si="251"/>
        <v>0</v>
      </c>
    </row>
    <row r="320" spans="1:29" s="434" customFormat="1" x14ac:dyDescent="0.15">
      <c r="A320" s="1312"/>
      <c r="B320" s="1275"/>
      <c r="C320" s="1275"/>
      <c r="D320" s="1275"/>
      <c r="E320" s="1275"/>
      <c r="F320" s="1314" t="s">
        <v>146</v>
      </c>
      <c r="G320" s="1308" t="s">
        <v>147</v>
      </c>
      <c r="H320" s="1310" t="s">
        <v>148</v>
      </c>
      <c r="I320" s="279" t="s">
        <v>72</v>
      </c>
      <c r="J320" s="280">
        <f t="shared" si="246"/>
        <v>105000</v>
      </c>
      <c r="K320" s="281">
        <f t="shared" si="246"/>
        <v>105000</v>
      </c>
      <c r="L320" s="282">
        <f t="shared" si="246"/>
        <v>0</v>
      </c>
      <c r="M320" s="282">
        <f t="shared" si="246"/>
        <v>0</v>
      </c>
      <c r="N320" s="283">
        <f t="shared" si="246"/>
        <v>0</v>
      </c>
      <c r="O320" s="284">
        <f t="shared" si="247"/>
        <v>0</v>
      </c>
      <c r="P320" s="281"/>
      <c r="Q320" s="282"/>
      <c r="R320" s="282"/>
      <c r="S320" s="285"/>
      <c r="T320" s="280">
        <f t="shared" si="248"/>
        <v>30000</v>
      </c>
      <c r="U320" s="352">
        <f t="shared" si="249"/>
        <v>30000</v>
      </c>
      <c r="V320" s="353">
        <f t="shared" si="249"/>
        <v>0</v>
      </c>
      <c r="W320" s="353">
        <f t="shared" si="249"/>
        <v>0</v>
      </c>
      <c r="X320" s="354">
        <f t="shared" si="249"/>
        <v>0</v>
      </c>
      <c r="Y320" s="284">
        <f t="shared" si="250"/>
        <v>75000</v>
      </c>
      <c r="Z320" s="281">
        <f t="shared" si="251"/>
        <v>75000</v>
      </c>
      <c r="AA320" s="282">
        <f t="shared" si="251"/>
        <v>0</v>
      </c>
      <c r="AB320" s="282">
        <f t="shared" si="251"/>
        <v>0</v>
      </c>
      <c r="AC320" s="283">
        <f t="shared" si="251"/>
        <v>0</v>
      </c>
    </row>
    <row r="321" spans="1:29" s="763" customFormat="1" x14ac:dyDescent="0.2">
      <c r="A321" s="1313"/>
      <c r="B321" s="1276"/>
      <c r="C321" s="1276"/>
      <c r="D321" s="1276"/>
      <c r="E321" s="1276"/>
      <c r="F321" s="1315"/>
      <c r="G321" s="1309"/>
      <c r="H321" s="1311"/>
      <c r="I321" s="766" t="s">
        <v>73</v>
      </c>
      <c r="J321" s="767">
        <f t="shared" si="246"/>
        <v>105000</v>
      </c>
      <c r="K321" s="768">
        <f t="shared" si="246"/>
        <v>105000</v>
      </c>
      <c r="L321" s="769">
        <f t="shared" si="246"/>
        <v>0</v>
      </c>
      <c r="M321" s="769">
        <f t="shared" si="246"/>
        <v>0</v>
      </c>
      <c r="N321" s="770">
        <f t="shared" si="246"/>
        <v>0</v>
      </c>
      <c r="O321" s="771">
        <f t="shared" si="247"/>
        <v>0</v>
      </c>
      <c r="P321" s="768"/>
      <c r="Q321" s="769"/>
      <c r="R321" s="769"/>
      <c r="S321" s="772"/>
      <c r="T321" s="773">
        <f t="shared" si="248"/>
        <v>30000</v>
      </c>
      <c r="U321" s="774">
        <f t="shared" si="249"/>
        <v>30000</v>
      </c>
      <c r="V321" s="775">
        <f t="shared" si="249"/>
        <v>0</v>
      </c>
      <c r="W321" s="775">
        <f t="shared" si="249"/>
        <v>0</v>
      </c>
      <c r="X321" s="776">
        <f t="shared" si="249"/>
        <v>0</v>
      </c>
      <c r="Y321" s="771">
        <f t="shared" si="250"/>
        <v>75000</v>
      </c>
      <c r="Z321" s="768">
        <f t="shared" si="251"/>
        <v>75000</v>
      </c>
      <c r="AA321" s="769">
        <f t="shared" si="251"/>
        <v>0</v>
      </c>
      <c r="AB321" s="769">
        <f t="shared" si="251"/>
        <v>0</v>
      </c>
      <c r="AC321" s="770">
        <f t="shared" si="251"/>
        <v>0</v>
      </c>
    </row>
    <row r="322" spans="1:29" x14ac:dyDescent="0.2">
      <c r="A322" s="1312"/>
      <c r="B322" s="1275"/>
      <c r="C322" s="1275"/>
      <c r="D322" s="1275"/>
      <c r="E322" s="1275"/>
      <c r="F322" s="1314" t="s">
        <v>107</v>
      </c>
      <c r="G322" s="1308" t="s">
        <v>149</v>
      </c>
      <c r="H322" s="1310" t="s">
        <v>150</v>
      </c>
      <c r="I322" s="360" t="s">
        <v>72</v>
      </c>
      <c r="J322" s="361">
        <f t="shared" si="246"/>
        <v>130000</v>
      </c>
      <c r="K322" s="362">
        <f t="shared" si="246"/>
        <v>130000</v>
      </c>
      <c r="L322" s="363">
        <f t="shared" si="246"/>
        <v>0</v>
      </c>
      <c r="M322" s="363">
        <f t="shared" si="246"/>
        <v>0</v>
      </c>
      <c r="N322" s="364">
        <f t="shared" si="246"/>
        <v>0</v>
      </c>
      <c r="O322" s="365">
        <f t="shared" si="247"/>
        <v>0</v>
      </c>
      <c r="P322" s="362"/>
      <c r="Q322" s="363"/>
      <c r="R322" s="363"/>
      <c r="S322" s="366"/>
      <c r="T322" s="367">
        <f t="shared" si="248"/>
        <v>30000</v>
      </c>
      <c r="U322" s="368">
        <f t="shared" si="249"/>
        <v>30000</v>
      </c>
      <c r="V322" s="369">
        <f t="shared" si="249"/>
        <v>0</v>
      </c>
      <c r="W322" s="369">
        <f t="shared" si="249"/>
        <v>0</v>
      </c>
      <c r="X322" s="370">
        <f t="shared" si="249"/>
        <v>0</v>
      </c>
      <c r="Y322" s="365">
        <f t="shared" si="250"/>
        <v>100000</v>
      </c>
      <c r="Z322" s="362">
        <f t="shared" si="251"/>
        <v>100000</v>
      </c>
      <c r="AA322" s="363">
        <f t="shared" si="251"/>
        <v>0</v>
      </c>
      <c r="AB322" s="363">
        <f t="shared" si="251"/>
        <v>0</v>
      </c>
      <c r="AC322" s="364">
        <f t="shared" si="251"/>
        <v>0</v>
      </c>
    </row>
    <row r="323" spans="1:29" x14ac:dyDescent="0.2">
      <c r="A323" s="1313"/>
      <c r="B323" s="1276"/>
      <c r="C323" s="1276"/>
      <c r="D323" s="1276"/>
      <c r="E323" s="1276"/>
      <c r="F323" s="1315"/>
      <c r="G323" s="1309"/>
      <c r="H323" s="1311"/>
      <c r="I323" s="766" t="s">
        <v>73</v>
      </c>
      <c r="J323" s="767">
        <f t="shared" si="246"/>
        <v>130000</v>
      </c>
      <c r="K323" s="768">
        <f t="shared" si="246"/>
        <v>130000</v>
      </c>
      <c r="L323" s="769">
        <f t="shared" si="246"/>
        <v>0</v>
      </c>
      <c r="M323" s="769">
        <f t="shared" si="246"/>
        <v>0</v>
      </c>
      <c r="N323" s="770">
        <f t="shared" si="246"/>
        <v>0</v>
      </c>
      <c r="O323" s="771">
        <f t="shared" si="247"/>
        <v>0</v>
      </c>
      <c r="P323" s="768"/>
      <c r="Q323" s="769"/>
      <c r="R323" s="769"/>
      <c r="S323" s="772"/>
      <c r="T323" s="773">
        <f t="shared" si="248"/>
        <v>30000</v>
      </c>
      <c r="U323" s="774">
        <f t="shared" si="249"/>
        <v>30000</v>
      </c>
      <c r="V323" s="775">
        <f t="shared" si="249"/>
        <v>0</v>
      </c>
      <c r="W323" s="775">
        <f t="shared" si="249"/>
        <v>0</v>
      </c>
      <c r="X323" s="776">
        <f t="shared" si="249"/>
        <v>0</v>
      </c>
      <c r="Y323" s="771">
        <f t="shared" si="250"/>
        <v>100000</v>
      </c>
      <c r="Z323" s="768">
        <f t="shared" si="251"/>
        <v>100000</v>
      </c>
      <c r="AA323" s="769">
        <f t="shared" si="251"/>
        <v>0</v>
      </c>
      <c r="AB323" s="769">
        <f t="shared" si="251"/>
        <v>0</v>
      </c>
      <c r="AC323" s="770">
        <f t="shared" si="251"/>
        <v>0</v>
      </c>
    </row>
    <row r="324" spans="1:29" x14ac:dyDescent="0.2">
      <c r="A324" s="1312"/>
      <c r="B324" s="1275"/>
      <c r="C324" s="1275"/>
      <c r="D324" s="1275"/>
      <c r="E324" s="1275"/>
      <c r="F324" s="1320" t="s">
        <v>110</v>
      </c>
      <c r="G324" s="1308" t="s">
        <v>151</v>
      </c>
      <c r="H324" s="1327" t="s">
        <v>152</v>
      </c>
      <c r="I324" s="360" t="s">
        <v>72</v>
      </c>
      <c r="J324" s="361">
        <f t="shared" si="246"/>
        <v>8293000</v>
      </c>
      <c r="K324" s="362">
        <f t="shared" si="246"/>
        <v>8293000</v>
      </c>
      <c r="L324" s="363">
        <f t="shared" si="246"/>
        <v>0</v>
      </c>
      <c r="M324" s="363">
        <f t="shared" si="246"/>
        <v>0</v>
      </c>
      <c r="N324" s="364">
        <f t="shared" si="246"/>
        <v>0</v>
      </c>
      <c r="O324" s="365">
        <f t="shared" si="247"/>
        <v>0</v>
      </c>
      <c r="P324" s="362"/>
      <c r="Q324" s="363"/>
      <c r="R324" s="363"/>
      <c r="S324" s="366"/>
      <c r="T324" s="367">
        <f t="shared" si="248"/>
        <v>1216000</v>
      </c>
      <c r="U324" s="368">
        <f t="shared" si="249"/>
        <v>1216000</v>
      </c>
      <c r="V324" s="369">
        <f t="shared" si="249"/>
        <v>0</v>
      </c>
      <c r="W324" s="369">
        <f t="shared" si="249"/>
        <v>0</v>
      </c>
      <c r="X324" s="370">
        <f t="shared" si="249"/>
        <v>0</v>
      </c>
      <c r="Y324" s="365">
        <f t="shared" si="250"/>
        <v>7077000</v>
      </c>
      <c r="Z324" s="362">
        <f t="shared" si="251"/>
        <v>7077000</v>
      </c>
      <c r="AA324" s="363">
        <f t="shared" si="251"/>
        <v>0</v>
      </c>
      <c r="AB324" s="363">
        <f t="shared" si="251"/>
        <v>0</v>
      </c>
      <c r="AC324" s="364">
        <f t="shared" si="251"/>
        <v>0</v>
      </c>
    </row>
    <row r="325" spans="1:29" ht="16" thickBot="1" x14ac:dyDescent="0.25">
      <c r="A325" s="1332"/>
      <c r="B325" s="1307"/>
      <c r="C325" s="1307"/>
      <c r="D325" s="1307"/>
      <c r="E325" s="1307"/>
      <c r="F325" s="1333"/>
      <c r="G325" s="1326"/>
      <c r="H325" s="1328"/>
      <c r="I325" s="766" t="s">
        <v>73</v>
      </c>
      <c r="J325" s="767">
        <f t="shared" si="246"/>
        <v>8293000</v>
      </c>
      <c r="K325" s="768">
        <f t="shared" si="246"/>
        <v>2154000</v>
      </c>
      <c r="L325" s="769">
        <f t="shared" si="246"/>
        <v>2124000</v>
      </c>
      <c r="M325" s="769">
        <f t="shared" si="246"/>
        <v>2074000</v>
      </c>
      <c r="N325" s="770">
        <f t="shared" si="246"/>
        <v>1941000</v>
      </c>
      <c r="O325" s="771">
        <f t="shared" si="247"/>
        <v>0</v>
      </c>
      <c r="P325" s="768"/>
      <c r="Q325" s="769"/>
      <c r="R325" s="769"/>
      <c r="S325" s="772"/>
      <c r="T325" s="773">
        <f t="shared" si="248"/>
        <v>1216000</v>
      </c>
      <c r="U325" s="774">
        <f t="shared" si="249"/>
        <v>334000</v>
      </c>
      <c r="V325" s="775">
        <f t="shared" si="249"/>
        <v>314000</v>
      </c>
      <c r="W325" s="775">
        <f t="shared" si="249"/>
        <v>314000</v>
      </c>
      <c r="X325" s="776">
        <f t="shared" si="249"/>
        <v>254000</v>
      </c>
      <c r="Y325" s="771">
        <f t="shared" si="250"/>
        <v>7077000</v>
      </c>
      <c r="Z325" s="768">
        <f t="shared" si="251"/>
        <v>1820000</v>
      </c>
      <c r="AA325" s="769">
        <f t="shared" si="251"/>
        <v>1810000</v>
      </c>
      <c r="AB325" s="769">
        <f t="shared" si="251"/>
        <v>1760000</v>
      </c>
      <c r="AC325" s="770">
        <f t="shared" si="251"/>
        <v>1687000</v>
      </c>
    </row>
    <row r="326" spans="1:29" x14ac:dyDescent="0.2">
      <c r="A326" s="1265"/>
      <c r="B326" s="1267"/>
      <c r="C326" s="1267"/>
      <c r="D326" s="1284" t="s">
        <v>79</v>
      </c>
      <c r="E326" s="1267"/>
      <c r="F326" s="1330"/>
      <c r="G326" s="1289" t="s">
        <v>80</v>
      </c>
      <c r="H326" s="1331" t="s">
        <v>79</v>
      </c>
      <c r="I326" s="147" t="s">
        <v>72</v>
      </c>
      <c r="J326" s="395">
        <f>K326+L326+M326+N326</f>
        <v>269339000</v>
      </c>
      <c r="K326" s="396">
        <f>K328+K350+K352+K356+K362+K364+K366+K368+K370+K372</f>
        <v>269339000</v>
      </c>
      <c r="L326" s="397">
        <f t="shared" ref="L326:N327" si="252">L328+L350+L352+L356+L362+L364+L366+L368+L370+L372</f>
        <v>0</v>
      </c>
      <c r="M326" s="397">
        <f t="shared" si="252"/>
        <v>0</v>
      </c>
      <c r="N326" s="398">
        <f t="shared" si="252"/>
        <v>0</v>
      </c>
      <c r="O326" s="399">
        <f t="shared" si="247"/>
        <v>0</v>
      </c>
      <c r="P326" s="400">
        <f>P328+P350+P352+P356+P362+P364+P366+P368+P370+P372</f>
        <v>0</v>
      </c>
      <c r="Q326" s="401">
        <f t="shared" ref="Q326:S327" si="253">Q328+Q350+Q352+Q356+Q362+Q364+Q366+Q368+Q370+Q372</f>
        <v>0</v>
      </c>
      <c r="R326" s="401">
        <f t="shared" si="253"/>
        <v>0</v>
      </c>
      <c r="S326" s="402">
        <f t="shared" si="253"/>
        <v>0</v>
      </c>
      <c r="T326" s="403">
        <f t="shared" si="248"/>
        <v>194239000</v>
      </c>
      <c r="U326" s="404">
        <f>U328+U350+U352+U356+U362+U364+U366+U368+U370+U372</f>
        <v>194239000</v>
      </c>
      <c r="V326" s="405">
        <f t="shared" ref="V326:X327" si="254">V328+V350+V352+V356+V362+V364+V366+V368+V370+V372</f>
        <v>0</v>
      </c>
      <c r="W326" s="405">
        <f t="shared" si="254"/>
        <v>0</v>
      </c>
      <c r="X326" s="406">
        <f t="shared" si="254"/>
        <v>0</v>
      </c>
      <c r="Y326" s="407">
        <f t="shared" si="250"/>
        <v>75100000</v>
      </c>
      <c r="Z326" s="408">
        <f>Z328+Z350+Z352+Z356+Z362+Z364+Z366+Z368+Z370+Z372</f>
        <v>75100000</v>
      </c>
      <c r="AA326" s="409">
        <f t="shared" ref="AA326:AC327" si="255">AA328+AA350+AA352+AA356+AA362+AA364+AA366+AA368+AA370+AA372</f>
        <v>0</v>
      </c>
      <c r="AB326" s="409">
        <f t="shared" si="255"/>
        <v>0</v>
      </c>
      <c r="AC326" s="410">
        <f t="shared" si="255"/>
        <v>0</v>
      </c>
    </row>
    <row r="327" spans="1:29" x14ac:dyDescent="0.2">
      <c r="A327" s="1329"/>
      <c r="B327" s="1323"/>
      <c r="C327" s="1323"/>
      <c r="D327" s="1278"/>
      <c r="E327" s="1323"/>
      <c r="F327" s="1325"/>
      <c r="G327" s="1280"/>
      <c r="H327" s="1317"/>
      <c r="I327" s="411" t="s">
        <v>73</v>
      </c>
      <c r="J327" s="412">
        <f>K327+L327+M327+N327</f>
        <v>215924000</v>
      </c>
      <c r="K327" s="413">
        <f>K329+K351+K353+K357+K363+K365+K367+K369+K371+K373</f>
        <v>76615000</v>
      </c>
      <c r="L327" s="414">
        <f t="shared" si="252"/>
        <v>48423000</v>
      </c>
      <c r="M327" s="414">
        <f t="shared" si="252"/>
        <v>45127000</v>
      </c>
      <c r="N327" s="415">
        <f t="shared" si="252"/>
        <v>45759000</v>
      </c>
      <c r="O327" s="416">
        <f t="shared" si="247"/>
        <v>0</v>
      </c>
      <c r="P327" s="417">
        <f>P329+P351+P353+P357+P363+P365+P367+P369+P371+P373</f>
        <v>0</v>
      </c>
      <c r="Q327" s="418">
        <f t="shared" si="253"/>
        <v>0</v>
      </c>
      <c r="R327" s="418">
        <f t="shared" si="253"/>
        <v>0</v>
      </c>
      <c r="S327" s="419">
        <f t="shared" si="253"/>
        <v>0</v>
      </c>
      <c r="T327" s="420">
        <f t="shared" si="248"/>
        <v>140824000</v>
      </c>
      <c r="U327" s="421">
        <f>U329+U351+U353+U357+U363+U365+U367+U369+U371+U373</f>
        <v>48485000</v>
      </c>
      <c r="V327" s="422">
        <f t="shared" si="254"/>
        <v>31015000</v>
      </c>
      <c r="W327" s="422">
        <f t="shared" si="254"/>
        <v>30605000</v>
      </c>
      <c r="X327" s="423">
        <f t="shared" si="254"/>
        <v>30719000</v>
      </c>
      <c r="Y327" s="424">
        <f t="shared" si="250"/>
        <v>75100000</v>
      </c>
      <c r="Z327" s="425">
        <f>Z329+Z351+Z353+Z357+Z363+Z365+Z367+Z369+Z371+Z373</f>
        <v>28130000</v>
      </c>
      <c r="AA327" s="426">
        <f t="shared" si="255"/>
        <v>17408000</v>
      </c>
      <c r="AB327" s="426">
        <f t="shared" si="255"/>
        <v>14522000</v>
      </c>
      <c r="AC327" s="427">
        <f t="shared" si="255"/>
        <v>15040000</v>
      </c>
    </row>
    <row r="328" spans="1:29" x14ac:dyDescent="0.2">
      <c r="A328" s="1273"/>
      <c r="B328" s="1275"/>
      <c r="C328" s="1275"/>
      <c r="D328" s="1275"/>
      <c r="E328" s="1277" t="s">
        <v>74</v>
      </c>
      <c r="F328" s="1324"/>
      <c r="G328" s="1318" t="s">
        <v>153</v>
      </c>
      <c r="H328" s="1316" t="s">
        <v>154</v>
      </c>
      <c r="I328" s="199" t="s">
        <v>72</v>
      </c>
      <c r="J328" s="315">
        <f>K328+L328+M328+N328</f>
        <v>241894000</v>
      </c>
      <c r="K328" s="316">
        <f t="shared" ref="K328:N329" si="256">K330+K332+K334+K336+K338+K340+K342+K344+K346+K348</f>
        <v>241894000</v>
      </c>
      <c r="L328" s="317">
        <f t="shared" si="256"/>
        <v>0</v>
      </c>
      <c r="M328" s="317">
        <f t="shared" si="256"/>
        <v>0</v>
      </c>
      <c r="N328" s="318">
        <f t="shared" si="256"/>
        <v>0</v>
      </c>
      <c r="O328" s="319">
        <f t="shared" si="247"/>
        <v>0</v>
      </c>
      <c r="P328" s="320">
        <f t="shared" ref="P328:S329" si="257">P330+P332+P334+P336+P338+P340+P342+P344+P346+P348</f>
        <v>0</v>
      </c>
      <c r="Q328" s="321">
        <f t="shared" si="257"/>
        <v>0</v>
      </c>
      <c r="R328" s="321">
        <f t="shared" si="257"/>
        <v>0</v>
      </c>
      <c r="S328" s="322">
        <f t="shared" si="257"/>
        <v>0</v>
      </c>
      <c r="T328" s="323">
        <f t="shared" si="248"/>
        <v>189489000</v>
      </c>
      <c r="U328" s="324">
        <f t="shared" ref="U328:X329" si="258">U330+U332+U334+U336+U338+U340+U342+U344+U346+U348</f>
        <v>189489000</v>
      </c>
      <c r="V328" s="325">
        <f t="shared" si="258"/>
        <v>0</v>
      </c>
      <c r="W328" s="325">
        <f t="shared" si="258"/>
        <v>0</v>
      </c>
      <c r="X328" s="428">
        <f t="shared" si="258"/>
        <v>0</v>
      </c>
      <c r="Y328" s="429">
        <f t="shared" si="250"/>
        <v>52405000</v>
      </c>
      <c r="Z328" s="328">
        <f t="shared" ref="Z328:AC329" si="259">Z330+Z332+Z334+Z336+Z338+Z340+Z342+Z344+Z346+Z348</f>
        <v>52405000</v>
      </c>
      <c r="AA328" s="329">
        <f t="shared" si="259"/>
        <v>0</v>
      </c>
      <c r="AB328" s="329">
        <f t="shared" si="259"/>
        <v>0</v>
      </c>
      <c r="AC328" s="330">
        <f t="shared" si="259"/>
        <v>0</v>
      </c>
    </row>
    <row r="329" spans="1:29" x14ac:dyDescent="0.2">
      <c r="A329" s="1274"/>
      <c r="B329" s="1276"/>
      <c r="C329" s="1276"/>
      <c r="D329" s="1276"/>
      <c r="E329" s="1278"/>
      <c r="F329" s="1325"/>
      <c r="G329" s="1319"/>
      <c r="H329" s="1317"/>
      <c r="I329" s="411" t="s">
        <v>73</v>
      </c>
      <c r="J329" s="412">
        <f>K329+L329+M329+N329</f>
        <v>188479000</v>
      </c>
      <c r="K329" s="413">
        <f t="shared" si="256"/>
        <v>62720000</v>
      </c>
      <c r="L329" s="414">
        <f t="shared" si="256"/>
        <v>42665000</v>
      </c>
      <c r="M329" s="414">
        <f t="shared" si="256"/>
        <v>41435000</v>
      </c>
      <c r="N329" s="415">
        <f t="shared" si="256"/>
        <v>41659000</v>
      </c>
      <c r="O329" s="416">
        <f t="shared" si="247"/>
        <v>0</v>
      </c>
      <c r="P329" s="417">
        <f t="shared" si="257"/>
        <v>0</v>
      </c>
      <c r="Q329" s="418">
        <f t="shared" si="257"/>
        <v>0</v>
      </c>
      <c r="R329" s="418">
        <f t="shared" si="257"/>
        <v>0</v>
      </c>
      <c r="S329" s="419">
        <f t="shared" si="257"/>
        <v>0</v>
      </c>
      <c r="T329" s="420">
        <f t="shared" si="248"/>
        <v>136074000</v>
      </c>
      <c r="U329" s="421">
        <f t="shared" si="258"/>
        <v>45685000</v>
      </c>
      <c r="V329" s="422">
        <f t="shared" si="258"/>
        <v>30365000</v>
      </c>
      <c r="W329" s="422">
        <f t="shared" si="258"/>
        <v>29955000</v>
      </c>
      <c r="X329" s="423">
        <f t="shared" si="258"/>
        <v>30069000</v>
      </c>
      <c r="Y329" s="424">
        <f t="shared" si="250"/>
        <v>52405000</v>
      </c>
      <c r="Z329" s="425">
        <f t="shared" si="259"/>
        <v>17035000</v>
      </c>
      <c r="AA329" s="426">
        <f t="shared" si="259"/>
        <v>12300000</v>
      </c>
      <c r="AB329" s="426">
        <f t="shared" si="259"/>
        <v>11480000</v>
      </c>
      <c r="AC329" s="427">
        <f t="shared" si="259"/>
        <v>11590000</v>
      </c>
    </row>
    <row r="330" spans="1:29" x14ac:dyDescent="0.2">
      <c r="A330" s="1312"/>
      <c r="B330" s="1275"/>
      <c r="C330" s="1275"/>
      <c r="D330" s="1275"/>
      <c r="E330" s="1275"/>
      <c r="F330" s="1314" t="s">
        <v>74</v>
      </c>
      <c r="G330" s="1308" t="s">
        <v>155</v>
      </c>
      <c r="H330" s="1310" t="s">
        <v>156</v>
      </c>
      <c r="I330" s="279" t="s">
        <v>72</v>
      </c>
      <c r="J330" s="280">
        <f t="shared" ref="J330:N351" si="260">O330+T330+Y330</f>
        <v>10000000</v>
      </c>
      <c r="K330" s="281">
        <f t="shared" si="260"/>
        <v>10000000</v>
      </c>
      <c r="L330" s="282">
        <f t="shared" si="260"/>
        <v>0</v>
      </c>
      <c r="M330" s="282">
        <f t="shared" si="260"/>
        <v>0</v>
      </c>
      <c r="N330" s="283">
        <f t="shared" si="260"/>
        <v>0</v>
      </c>
      <c r="O330" s="284">
        <f t="shared" si="247"/>
        <v>0</v>
      </c>
      <c r="P330" s="281"/>
      <c r="Q330" s="282"/>
      <c r="R330" s="282"/>
      <c r="S330" s="285"/>
      <c r="T330" s="286">
        <f t="shared" si="248"/>
        <v>3000000</v>
      </c>
      <c r="U330" s="287">
        <f t="shared" ref="U330:X345" si="261">U99*1000</f>
        <v>3000000</v>
      </c>
      <c r="V330" s="288">
        <f t="shared" si="261"/>
        <v>0</v>
      </c>
      <c r="W330" s="288">
        <f t="shared" si="261"/>
        <v>0</v>
      </c>
      <c r="X330" s="430">
        <f t="shared" si="261"/>
        <v>0</v>
      </c>
      <c r="Y330" s="284">
        <f t="shared" si="250"/>
        <v>7000000</v>
      </c>
      <c r="Z330" s="281">
        <f t="shared" ref="Z330:AC345" si="262">Z99*1000</f>
        <v>7000000</v>
      </c>
      <c r="AA330" s="282">
        <f t="shared" si="262"/>
        <v>0</v>
      </c>
      <c r="AB330" s="282">
        <f t="shared" si="262"/>
        <v>0</v>
      </c>
      <c r="AC330" s="283">
        <f t="shared" si="262"/>
        <v>0</v>
      </c>
    </row>
    <row r="331" spans="1:29" x14ac:dyDescent="0.2">
      <c r="A331" s="1313"/>
      <c r="B331" s="1276"/>
      <c r="C331" s="1276"/>
      <c r="D331" s="1276"/>
      <c r="E331" s="1276"/>
      <c r="F331" s="1315"/>
      <c r="G331" s="1309"/>
      <c r="H331" s="1311"/>
      <c r="I331" s="766" t="s">
        <v>73</v>
      </c>
      <c r="J331" s="767">
        <f t="shared" si="260"/>
        <v>10000000</v>
      </c>
      <c r="K331" s="768">
        <f t="shared" si="260"/>
        <v>2800000</v>
      </c>
      <c r="L331" s="769">
        <f t="shared" si="260"/>
        <v>2600000</v>
      </c>
      <c r="M331" s="769">
        <f t="shared" si="260"/>
        <v>2300000</v>
      </c>
      <c r="N331" s="770">
        <f t="shared" si="260"/>
        <v>2300000</v>
      </c>
      <c r="O331" s="771">
        <f t="shared" si="247"/>
        <v>0</v>
      </c>
      <c r="P331" s="768"/>
      <c r="Q331" s="769"/>
      <c r="R331" s="769"/>
      <c r="S331" s="772"/>
      <c r="T331" s="773">
        <f t="shared" si="248"/>
        <v>3000000</v>
      </c>
      <c r="U331" s="774">
        <f t="shared" si="261"/>
        <v>1050000</v>
      </c>
      <c r="V331" s="775">
        <f t="shared" si="261"/>
        <v>850000</v>
      </c>
      <c r="W331" s="775">
        <f t="shared" si="261"/>
        <v>550000</v>
      </c>
      <c r="X331" s="776">
        <f t="shared" si="261"/>
        <v>550000</v>
      </c>
      <c r="Y331" s="771">
        <f t="shared" si="250"/>
        <v>7000000</v>
      </c>
      <c r="Z331" s="768">
        <f t="shared" si="262"/>
        <v>1750000</v>
      </c>
      <c r="AA331" s="769">
        <f t="shared" si="262"/>
        <v>1750000</v>
      </c>
      <c r="AB331" s="769">
        <f t="shared" si="262"/>
        <v>1750000</v>
      </c>
      <c r="AC331" s="770">
        <f t="shared" si="262"/>
        <v>1750000</v>
      </c>
    </row>
    <row r="332" spans="1:29" x14ac:dyDescent="0.2">
      <c r="A332" s="1312"/>
      <c r="B332" s="1275"/>
      <c r="C332" s="1275"/>
      <c r="D332" s="1275"/>
      <c r="E332" s="1275"/>
      <c r="F332" s="1314" t="s">
        <v>131</v>
      </c>
      <c r="G332" s="1308" t="s">
        <v>157</v>
      </c>
      <c r="H332" s="1310" t="s">
        <v>158</v>
      </c>
      <c r="I332" s="279" t="s">
        <v>72</v>
      </c>
      <c r="J332" s="280">
        <f t="shared" si="260"/>
        <v>450000</v>
      </c>
      <c r="K332" s="281">
        <f t="shared" si="260"/>
        <v>450000</v>
      </c>
      <c r="L332" s="282">
        <f t="shared" si="260"/>
        <v>0</v>
      </c>
      <c r="M332" s="282">
        <f t="shared" si="260"/>
        <v>0</v>
      </c>
      <c r="N332" s="283">
        <f t="shared" si="260"/>
        <v>0</v>
      </c>
      <c r="O332" s="284">
        <f t="shared" si="247"/>
        <v>0</v>
      </c>
      <c r="P332" s="281"/>
      <c r="Q332" s="282"/>
      <c r="R332" s="282"/>
      <c r="S332" s="285"/>
      <c r="T332" s="286">
        <f t="shared" si="248"/>
        <v>0</v>
      </c>
      <c r="U332" s="287">
        <f t="shared" si="261"/>
        <v>0</v>
      </c>
      <c r="V332" s="288">
        <f t="shared" si="261"/>
        <v>0</v>
      </c>
      <c r="W332" s="288">
        <f t="shared" si="261"/>
        <v>0</v>
      </c>
      <c r="X332" s="430">
        <f t="shared" si="261"/>
        <v>0</v>
      </c>
      <c r="Y332" s="284">
        <f t="shared" si="250"/>
        <v>450000</v>
      </c>
      <c r="Z332" s="281">
        <f t="shared" si="262"/>
        <v>450000</v>
      </c>
      <c r="AA332" s="282">
        <f t="shared" si="262"/>
        <v>0</v>
      </c>
      <c r="AB332" s="282">
        <f t="shared" si="262"/>
        <v>0</v>
      </c>
      <c r="AC332" s="283">
        <f t="shared" si="262"/>
        <v>0</v>
      </c>
    </row>
    <row r="333" spans="1:29" x14ac:dyDescent="0.2">
      <c r="A333" s="1313"/>
      <c r="B333" s="1276"/>
      <c r="C333" s="1276"/>
      <c r="D333" s="1276"/>
      <c r="E333" s="1276"/>
      <c r="F333" s="1315"/>
      <c r="G333" s="1309"/>
      <c r="H333" s="1311"/>
      <c r="I333" s="766" t="s">
        <v>73</v>
      </c>
      <c r="J333" s="767">
        <f t="shared" si="260"/>
        <v>450000</v>
      </c>
      <c r="K333" s="768">
        <f t="shared" si="260"/>
        <v>250000</v>
      </c>
      <c r="L333" s="769">
        <f t="shared" si="260"/>
        <v>200000</v>
      </c>
      <c r="M333" s="769">
        <f t="shared" si="260"/>
        <v>0</v>
      </c>
      <c r="N333" s="770">
        <f t="shared" si="260"/>
        <v>0</v>
      </c>
      <c r="O333" s="771">
        <f t="shared" si="247"/>
        <v>0</v>
      </c>
      <c r="P333" s="768"/>
      <c r="Q333" s="769"/>
      <c r="R333" s="769"/>
      <c r="S333" s="772"/>
      <c r="T333" s="773">
        <f t="shared" si="248"/>
        <v>0</v>
      </c>
      <c r="U333" s="774">
        <f t="shared" si="261"/>
        <v>0</v>
      </c>
      <c r="V333" s="775">
        <f t="shared" si="261"/>
        <v>0</v>
      </c>
      <c r="W333" s="775">
        <f t="shared" si="261"/>
        <v>0</v>
      </c>
      <c r="X333" s="776">
        <f t="shared" si="261"/>
        <v>0</v>
      </c>
      <c r="Y333" s="771">
        <f t="shared" si="250"/>
        <v>450000</v>
      </c>
      <c r="Z333" s="768">
        <f t="shared" si="262"/>
        <v>250000</v>
      </c>
      <c r="AA333" s="769">
        <f t="shared" si="262"/>
        <v>200000</v>
      </c>
      <c r="AB333" s="769">
        <f t="shared" si="262"/>
        <v>0</v>
      </c>
      <c r="AC333" s="770">
        <f t="shared" si="262"/>
        <v>0</v>
      </c>
    </row>
    <row r="334" spans="1:29" x14ac:dyDescent="0.2">
      <c r="A334" s="1312"/>
      <c r="B334" s="1275"/>
      <c r="C334" s="1275"/>
      <c r="D334" s="1275"/>
      <c r="E334" s="1275"/>
      <c r="F334" s="1314" t="s">
        <v>66</v>
      </c>
      <c r="G334" s="1308" t="s">
        <v>159</v>
      </c>
      <c r="H334" s="1310" t="s">
        <v>160</v>
      </c>
      <c r="I334" s="279" t="s">
        <v>72</v>
      </c>
      <c r="J334" s="280">
        <f t="shared" si="260"/>
        <v>9000000</v>
      </c>
      <c r="K334" s="281">
        <f t="shared" si="260"/>
        <v>9000000</v>
      </c>
      <c r="L334" s="282">
        <f t="shared" si="260"/>
        <v>0</v>
      </c>
      <c r="M334" s="282">
        <f t="shared" si="260"/>
        <v>0</v>
      </c>
      <c r="N334" s="283">
        <f t="shared" si="260"/>
        <v>0</v>
      </c>
      <c r="O334" s="284">
        <f t="shared" si="247"/>
        <v>0</v>
      </c>
      <c r="P334" s="281"/>
      <c r="Q334" s="282"/>
      <c r="R334" s="282"/>
      <c r="S334" s="285"/>
      <c r="T334" s="286">
        <f t="shared" si="248"/>
        <v>0</v>
      </c>
      <c r="U334" s="287">
        <f t="shared" si="261"/>
        <v>0</v>
      </c>
      <c r="V334" s="288">
        <f t="shared" si="261"/>
        <v>0</v>
      </c>
      <c r="W334" s="288">
        <f t="shared" si="261"/>
        <v>0</v>
      </c>
      <c r="X334" s="430">
        <f t="shared" si="261"/>
        <v>0</v>
      </c>
      <c r="Y334" s="284">
        <f t="shared" si="250"/>
        <v>9000000</v>
      </c>
      <c r="Z334" s="281">
        <f t="shared" si="262"/>
        <v>9000000</v>
      </c>
      <c r="AA334" s="282">
        <f t="shared" si="262"/>
        <v>0</v>
      </c>
      <c r="AB334" s="282">
        <f t="shared" si="262"/>
        <v>0</v>
      </c>
      <c r="AC334" s="283">
        <f t="shared" si="262"/>
        <v>0</v>
      </c>
    </row>
    <row r="335" spans="1:29" x14ac:dyDescent="0.2">
      <c r="A335" s="1313"/>
      <c r="B335" s="1276"/>
      <c r="C335" s="1276"/>
      <c r="D335" s="1276"/>
      <c r="E335" s="1276"/>
      <c r="F335" s="1315"/>
      <c r="G335" s="1309"/>
      <c r="H335" s="1311"/>
      <c r="I335" s="766" t="s">
        <v>73</v>
      </c>
      <c r="J335" s="767">
        <f t="shared" si="260"/>
        <v>9000000</v>
      </c>
      <c r="K335" s="768">
        <f t="shared" si="260"/>
        <v>4600000</v>
      </c>
      <c r="L335" s="769">
        <f t="shared" si="260"/>
        <v>1800000</v>
      </c>
      <c r="M335" s="769">
        <f t="shared" si="260"/>
        <v>1200000</v>
      </c>
      <c r="N335" s="770">
        <f t="shared" si="260"/>
        <v>1400000</v>
      </c>
      <c r="O335" s="771">
        <f t="shared" si="247"/>
        <v>0</v>
      </c>
      <c r="P335" s="768"/>
      <c r="Q335" s="769"/>
      <c r="R335" s="769"/>
      <c r="S335" s="772"/>
      <c r="T335" s="773">
        <f t="shared" si="248"/>
        <v>0</v>
      </c>
      <c r="U335" s="774">
        <f t="shared" si="261"/>
        <v>0</v>
      </c>
      <c r="V335" s="775">
        <f t="shared" si="261"/>
        <v>0</v>
      </c>
      <c r="W335" s="775">
        <f t="shared" si="261"/>
        <v>0</v>
      </c>
      <c r="X335" s="776">
        <f t="shared" si="261"/>
        <v>0</v>
      </c>
      <c r="Y335" s="771">
        <f t="shared" si="250"/>
        <v>9000000</v>
      </c>
      <c r="Z335" s="768">
        <f t="shared" si="262"/>
        <v>4600000</v>
      </c>
      <c r="AA335" s="769">
        <f t="shared" si="262"/>
        <v>1800000</v>
      </c>
      <c r="AB335" s="769">
        <f t="shared" si="262"/>
        <v>1200000</v>
      </c>
      <c r="AC335" s="770">
        <f t="shared" si="262"/>
        <v>1400000</v>
      </c>
    </row>
    <row r="336" spans="1:29" x14ac:dyDescent="0.2">
      <c r="A336" s="1312"/>
      <c r="B336" s="1275"/>
      <c r="C336" s="1275"/>
      <c r="D336" s="1275"/>
      <c r="E336" s="1275"/>
      <c r="F336" s="1314" t="s">
        <v>146</v>
      </c>
      <c r="G336" s="1308" t="s">
        <v>161</v>
      </c>
      <c r="H336" s="1310" t="s">
        <v>162</v>
      </c>
      <c r="I336" s="279" t="s">
        <v>72</v>
      </c>
      <c r="J336" s="280">
        <f t="shared" si="260"/>
        <v>950000</v>
      </c>
      <c r="K336" s="281">
        <f t="shared" si="260"/>
        <v>950000</v>
      </c>
      <c r="L336" s="282">
        <f t="shared" si="260"/>
        <v>0</v>
      </c>
      <c r="M336" s="282">
        <f t="shared" si="260"/>
        <v>0</v>
      </c>
      <c r="N336" s="283">
        <f t="shared" si="260"/>
        <v>0</v>
      </c>
      <c r="O336" s="284">
        <f t="shared" si="247"/>
        <v>0</v>
      </c>
      <c r="P336" s="281"/>
      <c r="Q336" s="282"/>
      <c r="R336" s="282"/>
      <c r="S336" s="285"/>
      <c r="T336" s="286">
        <f t="shared" si="248"/>
        <v>0</v>
      </c>
      <c r="U336" s="287">
        <f t="shared" si="261"/>
        <v>0</v>
      </c>
      <c r="V336" s="288">
        <f t="shared" si="261"/>
        <v>0</v>
      </c>
      <c r="W336" s="288">
        <f t="shared" si="261"/>
        <v>0</v>
      </c>
      <c r="X336" s="430">
        <f t="shared" si="261"/>
        <v>0</v>
      </c>
      <c r="Y336" s="284">
        <f t="shared" si="250"/>
        <v>950000</v>
      </c>
      <c r="Z336" s="281">
        <f t="shared" si="262"/>
        <v>950000</v>
      </c>
      <c r="AA336" s="282">
        <f t="shared" si="262"/>
        <v>0</v>
      </c>
      <c r="AB336" s="282">
        <f t="shared" si="262"/>
        <v>0</v>
      </c>
      <c r="AC336" s="283">
        <f t="shared" si="262"/>
        <v>0</v>
      </c>
    </row>
    <row r="337" spans="1:29" x14ac:dyDescent="0.2">
      <c r="A337" s="1313"/>
      <c r="B337" s="1276"/>
      <c r="C337" s="1276"/>
      <c r="D337" s="1276"/>
      <c r="E337" s="1276"/>
      <c r="F337" s="1315"/>
      <c r="G337" s="1309"/>
      <c r="H337" s="1311"/>
      <c r="I337" s="766" t="s">
        <v>73</v>
      </c>
      <c r="J337" s="767">
        <f t="shared" si="260"/>
        <v>950000</v>
      </c>
      <c r="K337" s="768">
        <f t="shared" si="260"/>
        <v>275000</v>
      </c>
      <c r="L337" s="769">
        <f t="shared" si="260"/>
        <v>265000</v>
      </c>
      <c r="M337" s="769">
        <f t="shared" si="260"/>
        <v>205000</v>
      </c>
      <c r="N337" s="770">
        <f t="shared" si="260"/>
        <v>205000</v>
      </c>
      <c r="O337" s="771">
        <f t="shared" si="247"/>
        <v>0</v>
      </c>
      <c r="P337" s="768"/>
      <c r="Q337" s="769"/>
      <c r="R337" s="769"/>
      <c r="S337" s="772"/>
      <c r="T337" s="773">
        <f t="shared" si="248"/>
        <v>0</v>
      </c>
      <c r="U337" s="774">
        <f t="shared" si="261"/>
        <v>0</v>
      </c>
      <c r="V337" s="775">
        <f t="shared" si="261"/>
        <v>0</v>
      </c>
      <c r="W337" s="775">
        <f t="shared" si="261"/>
        <v>0</v>
      </c>
      <c r="X337" s="776">
        <f t="shared" si="261"/>
        <v>0</v>
      </c>
      <c r="Y337" s="771">
        <f t="shared" si="250"/>
        <v>950000</v>
      </c>
      <c r="Z337" s="768">
        <f t="shared" si="262"/>
        <v>275000</v>
      </c>
      <c r="AA337" s="769">
        <f t="shared" si="262"/>
        <v>265000</v>
      </c>
      <c r="AB337" s="769">
        <f t="shared" si="262"/>
        <v>205000</v>
      </c>
      <c r="AC337" s="770">
        <f t="shared" si="262"/>
        <v>205000</v>
      </c>
    </row>
    <row r="338" spans="1:29" x14ac:dyDescent="0.2">
      <c r="A338" s="1312"/>
      <c r="B338" s="1275"/>
      <c r="C338" s="1275"/>
      <c r="D338" s="1275"/>
      <c r="E338" s="1275"/>
      <c r="F338" s="1314" t="s">
        <v>104</v>
      </c>
      <c r="G338" s="1308" t="s">
        <v>163</v>
      </c>
      <c r="H338" s="1310" t="s">
        <v>164</v>
      </c>
      <c r="I338" s="279" t="s">
        <v>72</v>
      </c>
      <c r="J338" s="280">
        <f t="shared" si="260"/>
        <v>2100000</v>
      </c>
      <c r="K338" s="281">
        <f t="shared" si="260"/>
        <v>2100000</v>
      </c>
      <c r="L338" s="282">
        <f t="shared" si="260"/>
        <v>0</v>
      </c>
      <c r="M338" s="282">
        <f t="shared" si="260"/>
        <v>0</v>
      </c>
      <c r="N338" s="283">
        <f t="shared" si="260"/>
        <v>0</v>
      </c>
      <c r="O338" s="284">
        <f t="shared" si="247"/>
        <v>0</v>
      </c>
      <c r="P338" s="281"/>
      <c r="Q338" s="282"/>
      <c r="R338" s="282"/>
      <c r="S338" s="285"/>
      <c r="T338" s="286">
        <f t="shared" si="248"/>
        <v>600000</v>
      </c>
      <c r="U338" s="287">
        <f t="shared" si="261"/>
        <v>600000</v>
      </c>
      <c r="V338" s="288">
        <f t="shared" si="261"/>
        <v>0</v>
      </c>
      <c r="W338" s="288">
        <f t="shared" si="261"/>
        <v>0</v>
      </c>
      <c r="X338" s="430">
        <f t="shared" si="261"/>
        <v>0</v>
      </c>
      <c r="Y338" s="284">
        <f t="shared" si="250"/>
        <v>1500000</v>
      </c>
      <c r="Z338" s="281">
        <f t="shared" si="262"/>
        <v>1500000</v>
      </c>
      <c r="AA338" s="282">
        <f t="shared" si="262"/>
        <v>0</v>
      </c>
      <c r="AB338" s="282">
        <f t="shared" si="262"/>
        <v>0</v>
      </c>
      <c r="AC338" s="283">
        <f t="shared" si="262"/>
        <v>0</v>
      </c>
    </row>
    <row r="339" spans="1:29" x14ac:dyDescent="0.2">
      <c r="A339" s="1313"/>
      <c r="B339" s="1276"/>
      <c r="C339" s="1276"/>
      <c r="D339" s="1276"/>
      <c r="E339" s="1276"/>
      <c r="F339" s="1315"/>
      <c r="G339" s="1309"/>
      <c r="H339" s="1311"/>
      <c r="I339" s="766" t="s">
        <v>73</v>
      </c>
      <c r="J339" s="767">
        <f t="shared" si="260"/>
        <v>2100000</v>
      </c>
      <c r="K339" s="768">
        <f t="shared" si="260"/>
        <v>530000</v>
      </c>
      <c r="L339" s="769">
        <f t="shared" si="260"/>
        <v>450000</v>
      </c>
      <c r="M339" s="769">
        <f t="shared" si="260"/>
        <v>470000</v>
      </c>
      <c r="N339" s="770">
        <f t="shared" si="260"/>
        <v>650000</v>
      </c>
      <c r="O339" s="771">
        <f t="shared" si="247"/>
        <v>0</v>
      </c>
      <c r="P339" s="768"/>
      <c r="Q339" s="769"/>
      <c r="R339" s="769"/>
      <c r="S339" s="772"/>
      <c r="T339" s="773">
        <f t="shared" si="248"/>
        <v>600000</v>
      </c>
      <c r="U339" s="774">
        <f t="shared" si="261"/>
        <v>160000</v>
      </c>
      <c r="V339" s="775">
        <f t="shared" si="261"/>
        <v>120000</v>
      </c>
      <c r="W339" s="775">
        <f t="shared" si="261"/>
        <v>120000</v>
      </c>
      <c r="X339" s="776">
        <f t="shared" si="261"/>
        <v>200000</v>
      </c>
      <c r="Y339" s="771">
        <f t="shared" si="250"/>
        <v>1500000</v>
      </c>
      <c r="Z339" s="768">
        <f t="shared" si="262"/>
        <v>370000</v>
      </c>
      <c r="AA339" s="769">
        <f t="shared" si="262"/>
        <v>330000</v>
      </c>
      <c r="AB339" s="769">
        <f t="shared" si="262"/>
        <v>350000</v>
      </c>
      <c r="AC339" s="770">
        <f t="shared" si="262"/>
        <v>450000</v>
      </c>
    </row>
    <row r="340" spans="1:29" x14ac:dyDescent="0.2">
      <c r="A340" s="1312"/>
      <c r="B340" s="1275"/>
      <c r="C340" s="1275"/>
      <c r="D340" s="1275"/>
      <c r="E340" s="1275"/>
      <c r="F340" s="1314" t="s">
        <v>107</v>
      </c>
      <c r="G340" s="1308" t="s">
        <v>165</v>
      </c>
      <c r="H340" s="1310" t="s">
        <v>166</v>
      </c>
      <c r="I340" s="279" t="s">
        <v>72</v>
      </c>
      <c r="J340" s="280">
        <f t="shared" si="260"/>
        <v>600000</v>
      </c>
      <c r="K340" s="281">
        <f t="shared" si="260"/>
        <v>600000</v>
      </c>
      <c r="L340" s="282">
        <f t="shared" si="260"/>
        <v>0</v>
      </c>
      <c r="M340" s="282">
        <f t="shared" si="260"/>
        <v>0</v>
      </c>
      <c r="N340" s="283">
        <f t="shared" si="260"/>
        <v>0</v>
      </c>
      <c r="O340" s="284">
        <f t="shared" si="247"/>
        <v>0</v>
      </c>
      <c r="P340" s="281"/>
      <c r="Q340" s="282"/>
      <c r="R340" s="282"/>
      <c r="S340" s="285"/>
      <c r="T340" s="286">
        <f t="shared" si="248"/>
        <v>100000</v>
      </c>
      <c r="U340" s="287">
        <f t="shared" si="261"/>
        <v>100000</v>
      </c>
      <c r="V340" s="288">
        <f t="shared" si="261"/>
        <v>0</v>
      </c>
      <c r="W340" s="288">
        <f t="shared" si="261"/>
        <v>0</v>
      </c>
      <c r="X340" s="430">
        <f t="shared" si="261"/>
        <v>0</v>
      </c>
      <c r="Y340" s="284">
        <f t="shared" si="250"/>
        <v>500000</v>
      </c>
      <c r="Z340" s="281">
        <f t="shared" si="262"/>
        <v>500000</v>
      </c>
      <c r="AA340" s="282">
        <f t="shared" si="262"/>
        <v>0</v>
      </c>
      <c r="AB340" s="282">
        <f t="shared" si="262"/>
        <v>0</v>
      </c>
      <c r="AC340" s="283">
        <f t="shared" si="262"/>
        <v>0</v>
      </c>
    </row>
    <row r="341" spans="1:29" x14ac:dyDescent="0.2">
      <c r="A341" s="1313"/>
      <c r="B341" s="1276"/>
      <c r="C341" s="1276"/>
      <c r="D341" s="1276"/>
      <c r="E341" s="1276"/>
      <c r="F341" s="1315"/>
      <c r="G341" s="1309"/>
      <c r="H341" s="1311"/>
      <c r="I341" s="766" t="s">
        <v>73</v>
      </c>
      <c r="J341" s="767">
        <f t="shared" si="260"/>
        <v>600000</v>
      </c>
      <c r="K341" s="768">
        <f t="shared" si="260"/>
        <v>150000</v>
      </c>
      <c r="L341" s="769">
        <f t="shared" si="260"/>
        <v>150000</v>
      </c>
      <c r="M341" s="769">
        <f t="shared" si="260"/>
        <v>150000</v>
      </c>
      <c r="N341" s="770">
        <f t="shared" si="260"/>
        <v>150000</v>
      </c>
      <c r="O341" s="771">
        <f t="shared" si="247"/>
        <v>0</v>
      </c>
      <c r="P341" s="768"/>
      <c r="Q341" s="769"/>
      <c r="R341" s="769"/>
      <c r="S341" s="772"/>
      <c r="T341" s="773">
        <f t="shared" si="248"/>
        <v>100000</v>
      </c>
      <c r="U341" s="774">
        <f t="shared" si="261"/>
        <v>25000</v>
      </c>
      <c r="V341" s="775">
        <f t="shared" si="261"/>
        <v>25000</v>
      </c>
      <c r="W341" s="775">
        <f t="shared" si="261"/>
        <v>25000</v>
      </c>
      <c r="X341" s="776">
        <f t="shared" si="261"/>
        <v>25000</v>
      </c>
      <c r="Y341" s="771">
        <f t="shared" si="250"/>
        <v>500000</v>
      </c>
      <c r="Z341" s="768">
        <f t="shared" si="262"/>
        <v>125000</v>
      </c>
      <c r="AA341" s="769">
        <f t="shared" si="262"/>
        <v>125000</v>
      </c>
      <c r="AB341" s="769">
        <f t="shared" si="262"/>
        <v>125000</v>
      </c>
      <c r="AC341" s="770">
        <f t="shared" si="262"/>
        <v>125000</v>
      </c>
    </row>
    <row r="342" spans="1:29" s="253" customFormat="1" x14ac:dyDescent="0.2">
      <c r="A342" s="1312"/>
      <c r="B342" s="1275"/>
      <c r="C342" s="1275"/>
      <c r="D342" s="1275"/>
      <c r="E342" s="1275"/>
      <c r="F342" s="1314" t="s">
        <v>110</v>
      </c>
      <c r="G342" s="1308" t="s">
        <v>167</v>
      </c>
      <c r="H342" s="1310" t="s">
        <v>168</v>
      </c>
      <c r="I342" s="279" t="s">
        <v>72</v>
      </c>
      <c r="J342" s="280">
        <f t="shared" si="260"/>
        <v>5000</v>
      </c>
      <c r="K342" s="281">
        <f t="shared" si="260"/>
        <v>5000</v>
      </c>
      <c r="L342" s="282">
        <f t="shared" si="260"/>
        <v>0</v>
      </c>
      <c r="M342" s="282">
        <f t="shared" si="260"/>
        <v>0</v>
      </c>
      <c r="N342" s="283">
        <f t="shared" si="260"/>
        <v>0</v>
      </c>
      <c r="O342" s="284">
        <f t="shared" si="247"/>
        <v>0</v>
      </c>
      <c r="P342" s="281"/>
      <c r="Q342" s="282"/>
      <c r="R342" s="282"/>
      <c r="S342" s="285"/>
      <c r="T342" s="286">
        <f t="shared" si="248"/>
        <v>0</v>
      </c>
      <c r="U342" s="287">
        <f t="shared" si="261"/>
        <v>0</v>
      </c>
      <c r="V342" s="288">
        <f t="shared" si="261"/>
        <v>0</v>
      </c>
      <c r="W342" s="288">
        <f t="shared" si="261"/>
        <v>0</v>
      </c>
      <c r="X342" s="430">
        <f t="shared" si="261"/>
        <v>0</v>
      </c>
      <c r="Y342" s="284">
        <f t="shared" si="250"/>
        <v>5000</v>
      </c>
      <c r="Z342" s="281">
        <f t="shared" si="262"/>
        <v>5000</v>
      </c>
      <c r="AA342" s="282">
        <f t="shared" si="262"/>
        <v>0</v>
      </c>
      <c r="AB342" s="282">
        <f t="shared" si="262"/>
        <v>0</v>
      </c>
      <c r="AC342" s="283">
        <f t="shared" si="262"/>
        <v>0</v>
      </c>
    </row>
    <row r="343" spans="1:29" s="253" customFormat="1" x14ac:dyDescent="0.2">
      <c r="A343" s="1313"/>
      <c r="B343" s="1276"/>
      <c r="C343" s="1276"/>
      <c r="D343" s="1276"/>
      <c r="E343" s="1276"/>
      <c r="F343" s="1315"/>
      <c r="G343" s="1309"/>
      <c r="H343" s="1311"/>
      <c r="I343" s="766" t="s">
        <v>73</v>
      </c>
      <c r="J343" s="767">
        <f t="shared" si="260"/>
        <v>5000</v>
      </c>
      <c r="K343" s="768">
        <f t="shared" si="260"/>
        <v>5000</v>
      </c>
      <c r="L343" s="769">
        <f t="shared" si="260"/>
        <v>0</v>
      </c>
      <c r="M343" s="769">
        <f t="shared" si="260"/>
        <v>0</v>
      </c>
      <c r="N343" s="770">
        <f t="shared" si="260"/>
        <v>0</v>
      </c>
      <c r="O343" s="771">
        <f t="shared" si="247"/>
        <v>0</v>
      </c>
      <c r="P343" s="768"/>
      <c r="Q343" s="769"/>
      <c r="R343" s="769"/>
      <c r="S343" s="772"/>
      <c r="T343" s="773">
        <f t="shared" si="248"/>
        <v>0</v>
      </c>
      <c r="U343" s="774">
        <f t="shared" si="261"/>
        <v>0</v>
      </c>
      <c r="V343" s="775">
        <f t="shared" si="261"/>
        <v>0</v>
      </c>
      <c r="W343" s="775">
        <f t="shared" si="261"/>
        <v>0</v>
      </c>
      <c r="X343" s="776">
        <f t="shared" si="261"/>
        <v>0</v>
      </c>
      <c r="Y343" s="771">
        <f t="shared" si="250"/>
        <v>5000</v>
      </c>
      <c r="Z343" s="768">
        <f t="shared" si="262"/>
        <v>5000</v>
      </c>
      <c r="AA343" s="769">
        <f t="shared" si="262"/>
        <v>0</v>
      </c>
      <c r="AB343" s="769">
        <f t="shared" si="262"/>
        <v>0</v>
      </c>
      <c r="AC343" s="770">
        <f t="shared" si="262"/>
        <v>0</v>
      </c>
    </row>
    <row r="344" spans="1:29" s="253" customFormat="1" x14ac:dyDescent="0.2">
      <c r="A344" s="1312"/>
      <c r="B344" s="1275"/>
      <c r="C344" s="1275"/>
      <c r="D344" s="1275"/>
      <c r="E344" s="1275"/>
      <c r="F344" s="1314" t="s">
        <v>46</v>
      </c>
      <c r="G344" s="1308" t="s">
        <v>169</v>
      </c>
      <c r="H344" s="1310" t="s">
        <v>170</v>
      </c>
      <c r="I344" s="279" t="s">
        <v>72</v>
      </c>
      <c r="J344" s="280">
        <f t="shared" si="260"/>
        <v>8660000</v>
      </c>
      <c r="K344" s="281">
        <f t="shared" si="260"/>
        <v>8660000</v>
      </c>
      <c r="L344" s="282">
        <f t="shared" si="260"/>
        <v>0</v>
      </c>
      <c r="M344" s="282">
        <f t="shared" si="260"/>
        <v>0</v>
      </c>
      <c r="N344" s="283">
        <f t="shared" si="260"/>
        <v>0</v>
      </c>
      <c r="O344" s="284">
        <f t="shared" si="247"/>
        <v>0</v>
      </c>
      <c r="P344" s="281"/>
      <c r="Q344" s="282"/>
      <c r="R344" s="282"/>
      <c r="S344" s="285"/>
      <c r="T344" s="286">
        <f t="shared" si="248"/>
        <v>660000</v>
      </c>
      <c r="U344" s="287">
        <f t="shared" si="261"/>
        <v>660000</v>
      </c>
      <c r="V344" s="288">
        <f t="shared" si="261"/>
        <v>0</v>
      </c>
      <c r="W344" s="288">
        <f t="shared" si="261"/>
        <v>0</v>
      </c>
      <c r="X344" s="430">
        <f t="shared" si="261"/>
        <v>0</v>
      </c>
      <c r="Y344" s="284">
        <f t="shared" si="250"/>
        <v>8000000</v>
      </c>
      <c r="Z344" s="281">
        <f t="shared" si="262"/>
        <v>8000000</v>
      </c>
      <c r="AA344" s="282">
        <f t="shared" si="262"/>
        <v>0</v>
      </c>
      <c r="AB344" s="282">
        <f t="shared" si="262"/>
        <v>0</v>
      </c>
      <c r="AC344" s="283">
        <f t="shared" si="262"/>
        <v>0</v>
      </c>
    </row>
    <row r="345" spans="1:29" s="253" customFormat="1" x14ac:dyDescent="0.2">
      <c r="A345" s="1313"/>
      <c r="B345" s="1276"/>
      <c r="C345" s="1276"/>
      <c r="D345" s="1276"/>
      <c r="E345" s="1276"/>
      <c r="F345" s="1315"/>
      <c r="G345" s="1309"/>
      <c r="H345" s="1311"/>
      <c r="I345" s="766" t="s">
        <v>73</v>
      </c>
      <c r="J345" s="767">
        <f t="shared" si="260"/>
        <v>8660000</v>
      </c>
      <c r="K345" s="768">
        <f t="shared" si="260"/>
        <v>2250000</v>
      </c>
      <c r="L345" s="769">
        <f t="shared" si="260"/>
        <v>2210000</v>
      </c>
      <c r="M345" s="769">
        <f t="shared" si="260"/>
        <v>2210000</v>
      </c>
      <c r="N345" s="770">
        <f t="shared" si="260"/>
        <v>1990000</v>
      </c>
      <c r="O345" s="771">
        <f t="shared" si="247"/>
        <v>0</v>
      </c>
      <c r="P345" s="768"/>
      <c r="Q345" s="769"/>
      <c r="R345" s="769"/>
      <c r="S345" s="772"/>
      <c r="T345" s="773">
        <f t="shared" si="248"/>
        <v>660000</v>
      </c>
      <c r="U345" s="774">
        <f t="shared" si="261"/>
        <v>250000</v>
      </c>
      <c r="V345" s="775">
        <f t="shared" si="261"/>
        <v>210000</v>
      </c>
      <c r="W345" s="775">
        <f t="shared" si="261"/>
        <v>110000</v>
      </c>
      <c r="X345" s="776">
        <f t="shared" si="261"/>
        <v>90000</v>
      </c>
      <c r="Y345" s="771">
        <f t="shared" si="250"/>
        <v>8000000</v>
      </c>
      <c r="Z345" s="768">
        <f t="shared" si="262"/>
        <v>2000000</v>
      </c>
      <c r="AA345" s="769">
        <f t="shared" si="262"/>
        <v>2000000</v>
      </c>
      <c r="AB345" s="769">
        <f t="shared" si="262"/>
        <v>2100000</v>
      </c>
      <c r="AC345" s="770">
        <f t="shared" si="262"/>
        <v>1900000</v>
      </c>
    </row>
    <row r="346" spans="1:29" s="253" customFormat="1" x14ac:dyDescent="0.2">
      <c r="A346" s="1312"/>
      <c r="B346" s="1275"/>
      <c r="C346" s="1275"/>
      <c r="D346" s="1275"/>
      <c r="E346" s="1275"/>
      <c r="F346" s="1314" t="s">
        <v>58</v>
      </c>
      <c r="G346" s="1308" t="s">
        <v>171</v>
      </c>
      <c r="H346" s="1310" t="s">
        <v>172</v>
      </c>
      <c r="I346" s="279" t="s">
        <v>72</v>
      </c>
      <c r="J346" s="280">
        <f t="shared" si="260"/>
        <v>190469000</v>
      </c>
      <c r="K346" s="281">
        <f t="shared" si="260"/>
        <v>190469000</v>
      </c>
      <c r="L346" s="282">
        <f t="shared" si="260"/>
        <v>0</v>
      </c>
      <c r="M346" s="282">
        <f t="shared" si="260"/>
        <v>0</v>
      </c>
      <c r="N346" s="283">
        <f t="shared" si="260"/>
        <v>0</v>
      </c>
      <c r="O346" s="284">
        <f t="shared" si="247"/>
        <v>0</v>
      </c>
      <c r="P346" s="281"/>
      <c r="Q346" s="282"/>
      <c r="R346" s="282"/>
      <c r="S346" s="285"/>
      <c r="T346" s="286">
        <f t="shared" si="248"/>
        <v>184469000</v>
      </c>
      <c r="U346" s="287">
        <f t="shared" ref="U346:X361" si="263">U115*1000</f>
        <v>184469000</v>
      </c>
      <c r="V346" s="288">
        <f t="shared" si="263"/>
        <v>0</v>
      </c>
      <c r="W346" s="288">
        <f t="shared" si="263"/>
        <v>0</v>
      </c>
      <c r="X346" s="430">
        <f t="shared" si="263"/>
        <v>0</v>
      </c>
      <c r="Y346" s="284">
        <f t="shared" si="250"/>
        <v>6000000</v>
      </c>
      <c r="Z346" s="281">
        <f t="shared" ref="Z346:AC361" si="264">Z115*1000</f>
        <v>6000000</v>
      </c>
      <c r="AA346" s="282">
        <f t="shared" si="264"/>
        <v>0</v>
      </c>
      <c r="AB346" s="282">
        <f t="shared" si="264"/>
        <v>0</v>
      </c>
      <c r="AC346" s="283">
        <f t="shared" si="264"/>
        <v>0</v>
      </c>
    </row>
    <row r="347" spans="1:29" s="253" customFormat="1" x14ac:dyDescent="0.2">
      <c r="A347" s="1313"/>
      <c r="B347" s="1276"/>
      <c r="C347" s="1276"/>
      <c r="D347" s="1276"/>
      <c r="E347" s="1276"/>
      <c r="F347" s="1315"/>
      <c r="G347" s="1309"/>
      <c r="H347" s="1311"/>
      <c r="I347" s="766" t="s">
        <v>73</v>
      </c>
      <c r="J347" s="767">
        <f t="shared" si="260"/>
        <v>137054000</v>
      </c>
      <c r="K347" s="768">
        <f t="shared" si="260"/>
        <v>46660000</v>
      </c>
      <c r="L347" s="769">
        <f t="shared" si="260"/>
        <v>30080000</v>
      </c>
      <c r="M347" s="769">
        <f t="shared" si="260"/>
        <v>30000000</v>
      </c>
      <c r="N347" s="770">
        <f t="shared" si="260"/>
        <v>30314000</v>
      </c>
      <c r="O347" s="771">
        <f t="shared" si="247"/>
        <v>0</v>
      </c>
      <c r="P347" s="768"/>
      <c r="Q347" s="769"/>
      <c r="R347" s="769"/>
      <c r="S347" s="772"/>
      <c r="T347" s="773">
        <f t="shared" si="248"/>
        <v>131054000</v>
      </c>
      <c r="U347" s="774">
        <f t="shared" si="263"/>
        <v>44000000</v>
      </c>
      <c r="V347" s="775">
        <f t="shared" si="263"/>
        <v>29000000</v>
      </c>
      <c r="W347" s="775">
        <f t="shared" si="263"/>
        <v>29000000</v>
      </c>
      <c r="X347" s="776">
        <f t="shared" si="263"/>
        <v>29054000</v>
      </c>
      <c r="Y347" s="771">
        <f t="shared" si="250"/>
        <v>6000000</v>
      </c>
      <c r="Z347" s="768">
        <f t="shared" si="264"/>
        <v>2660000</v>
      </c>
      <c r="AA347" s="769">
        <f t="shared" si="264"/>
        <v>1080000</v>
      </c>
      <c r="AB347" s="769">
        <f t="shared" si="264"/>
        <v>1000000</v>
      </c>
      <c r="AC347" s="770">
        <f t="shared" si="264"/>
        <v>1260000</v>
      </c>
    </row>
    <row r="348" spans="1:29" s="253" customFormat="1" x14ac:dyDescent="0.2">
      <c r="A348" s="1312"/>
      <c r="B348" s="1275"/>
      <c r="C348" s="1275"/>
      <c r="D348" s="1275"/>
      <c r="E348" s="1275"/>
      <c r="F348" s="1314" t="s">
        <v>128</v>
      </c>
      <c r="G348" s="1308" t="s">
        <v>173</v>
      </c>
      <c r="H348" s="1310" t="s">
        <v>174</v>
      </c>
      <c r="I348" s="279" t="s">
        <v>72</v>
      </c>
      <c r="J348" s="280">
        <f t="shared" si="260"/>
        <v>19660000</v>
      </c>
      <c r="K348" s="281">
        <f t="shared" si="260"/>
        <v>19660000</v>
      </c>
      <c r="L348" s="282">
        <f t="shared" si="260"/>
        <v>0</v>
      </c>
      <c r="M348" s="282">
        <f t="shared" si="260"/>
        <v>0</v>
      </c>
      <c r="N348" s="283">
        <f t="shared" si="260"/>
        <v>0</v>
      </c>
      <c r="O348" s="284">
        <f t="shared" si="247"/>
        <v>0</v>
      </c>
      <c r="P348" s="281"/>
      <c r="Q348" s="282"/>
      <c r="R348" s="282"/>
      <c r="S348" s="285"/>
      <c r="T348" s="286">
        <f t="shared" si="248"/>
        <v>660000</v>
      </c>
      <c r="U348" s="287">
        <f t="shared" si="263"/>
        <v>660000</v>
      </c>
      <c r="V348" s="288">
        <f t="shared" si="263"/>
        <v>0</v>
      </c>
      <c r="W348" s="288">
        <f t="shared" si="263"/>
        <v>0</v>
      </c>
      <c r="X348" s="430">
        <f t="shared" si="263"/>
        <v>0</v>
      </c>
      <c r="Y348" s="284">
        <f t="shared" si="250"/>
        <v>19000000</v>
      </c>
      <c r="Z348" s="281">
        <f t="shared" si="264"/>
        <v>19000000</v>
      </c>
      <c r="AA348" s="282">
        <f t="shared" si="264"/>
        <v>0</v>
      </c>
      <c r="AB348" s="282">
        <f t="shared" si="264"/>
        <v>0</v>
      </c>
      <c r="AC348" s="283">
        <f t="shared" si="264"/>
        <v>0</v>
      </c>
    </row>
    <row r="349" spans="1:29" s="253" customFormat="1" x14ac:dyDescent="0.2">
      <c r="A349" s="1313"/>
      <c r="B349" s="1276"/>
      <c r="C349" s="1276"/>
      <c r="D349" s="1276"/>
      <c r="E349" s="1276"/>
      <c r="F349" s="1315"/>
      <c r="G349" s="1309"/>
      <c r="H349" s="1311"/>
      <c r="I349" s="766" t="s">
        <v>73</v>
      </c>
      <c r="J349" s="767">
        <f t="shared" si="260"/>
        <v>19660000</v>
      </c>
      <c r="K349" s="768">
        <f t="shared" si="260"/>
        <v>5200000</v>
      </c>
      <c r="L349" s="769">
        <f t="shared" si="260"/>
        <v>4910000</v>
      </c>
      <c r="M349" s="769">
        <f t="shared" si="260"/>
        <v>4900000</v>
      </c>
      <c r="N349" s="770">
        <f t="shared" si="260"/>
        <v>4650000</v>
      </c>
      <c r="O349" s="771">
        <f t="shared" si="247"/>
        <v>0</v>
      </c>
      <c r="P349" s="768"/>
      <c r="Q349" s="769"/>
      <c r="R349" s="769"/>
      <c r="S349" s="772"/>
      <c r="T349" s="773">
        <f t="shared" si="248"/>
        <v>660000</v>
      </c>
      <c r="U349" s="774">
        <f t="shared" si="263"/>
        <v>200000</v>
      </c>
      <c r="V349" s="775">
        <f t="shared" si="263"/>
        <v>160000</v>
      </c>
      <c r="W349" s="775">
        <f t="shared" si="263"/>
        <v>150000</v>
      </c>
      <c r="X349" s="776">
        <f t="shared" si="263"/>
        <v>150000</v>
      </c>
      <c r="Y349" s="771">
        <f t="shared" si="250"/>
        <v>19000000</v>
      </c>
      <c r="Z349" s="768">
        <f t="shared" si="264"/>
        <v>5000000</v>
      </c>
      <c r="AA349" s="769">
        <f t="shared" si="264"/>
        <v>4750000</v>
      </c>
      <c r="AB349" s="769">
        <f t="shared" si="264"/>
        <v>4750000</v>
      </c>
      <c r="AC349" s="770">
        <f t="shared" si="264"/>
        <v>4500000</v>
      </c>
    </row>
    <row r="350" spans="1:29" s="253" customFormat="1" x14ac:dyDescent="0.2">
      <c r="A350" s="1312"/>
      <c r="B350" s="1275"/>
      <c r="C350" s="1275"/>
      <c r="D350" s="1275"/>
      <c r="E350" s="1277" t="s">
        <v>131</v>
      </c>
      <c r="F350" s="1322"/>
      <c r="G350" s="1334" t="s">
        <v>175</v>
      </c>
      <c r="H350" s="1310" t="s">
        <v>176</v>
      </c>
      <c r="I350" s="279" t="s">
        <v>72</v>
      </c>
      <c r="J350" s="361">
        <f t="shared" si="260"/>
        <v>1695000</v>
      </c>
      <c r="K350" s="362">
        <f t="shared" si="260"/>
        <v>1695000</v>
      </c>
      <c r="L350" s="363">
        <f t="shared" si="260"/>
        <v>0</v>
      </c>
      <c r="M350" s="363">
        <f t="shared" si="260"/>
        <v>0</v>
      </c>
      <c r="N350" s="364">
        <f t="shared" si="260"/>
        <v>0</v>
      </c>
      <c r="O350" s="365">
        <f t="shared" si="247"/>
        <v>0</v>
      </c>
      <c r="P350" s="362"/>
      <c r="Q350" s="363"/>
      <c r="R350" s="363"/>
      <c r="S350" s="366"/>
      <c r="T350" s="367">
        <f t="shared" si="248"/>
        <v>0</v>
      </c>
      <c r="U350" s="368">
        <f t="shared" si="263"/>
        <v>0</v>
      </c>
      <c r="V350" s="369">
        <f t="shared" si="263"/>
        <v>0</v>
      </c>
      <c r="W350" s="369">
        <f t="shared" si="263"/>
        <v>0</v>
      </c>
      <c r="X350" s="370">
        <f t="shared" si="263"/>
        <v>0</v>
      </c>
      <c r="Y350" s="365">
        <f t="shared" si="250"/>
        <v>1695000</v>
      </c>
      <c r="Z350" s="362">
        <f t="shared" si="264"/>
        <v>1695000</v>
      </c>
      <c r="AA350" s="363">
        <f t="shared" si="264"/>
        <v>0</v>
      </c>
      <c r="AB350" s="363">
        <f t="shared" si="264"/>
        <v>0</v>
      </c>
      <c r="AC350" s="364">
        <f t="shared" si="264"/>
        <v>0</v>
      </c>
    </row>
    <row r="351" spans="1:29" s="253" customFormat="1" x14ac:dyDescent="0.2">
      <c r="A351" s="1313"/>
      <c r="B351" s="1276"/>
      <c r="C351" s="1276"/>
      <c r="D351" s="1276"/>
      <c r="E351" s="1278"/>
      <c r="F351" s="1323"/>
      <c r="G351" s="1335"/>
      <c r="H351" s="1311"/>
      <c r="I351" s="766" t="s">
        <v>73</v>
      </c>
      <c r="J351" s="767">
        <f t="shared" si="260"/>
        <v>1695000</v>
      </c>
      <c r="K351" s="768">
        <f t="shared" si="260"/>
        <v>1695000</v>
      </c>
      <c r="L351" s="769">
        <f t="shared" si="260"/>
        <v>0</v>
      </c>
      <c r="M351" s="769">
        <f t="shared" si="260"/>
        <v>0</v>
      </c>
      <c r="N351" s="770">
        <f t="shared" si="260"/>
        <v>0</v>
      </c>
      <c r="O351" s="771">
        <f t="shared" si="247"/>
        <v>0</v>
      </c>
      <c r="P351" s="768"/>
      <c r="Q351" s="769"/>
      <c r="R351" s="769"/>
      <c r="S351" s="772"/>
      <c r="T351" s="773">
        <f t="shared" si="248"/>
        <v>0</v>
      </c>
      <c r="U351" s="774">
        <f t="shared" si="263"/>
        <v>0</v>
      </c>
      <c r="V351" s="775">
        <f t="shared" si="263"/>
        <v>0</v>
      </c>
      <c r="W351" s="775">
        <f t="shared" si="263"/>
        <v>0</v>
      </c>
      <c r="X351" s="776">
        <f t="shared" si="263"/>
        <v>0</v>
      </c>
      <c r="Y351" s="771">
        <f t="shared" si="250"/>
        <v>1695000</v>
      </c>
      <c r="Z351" s="768">
        <f t="shared" si="264"/>
        <v>1695000</v>
      </c>
      <c r="AA351" s="769">
        <f t="shared" si="264"/>
        <v>0</v>
      </c>
      <c r="AB351" s="769">
        <f t="shared" si="264"/>
        <v>0</v>
      </c>
      <c r="AC351" s="770">
        <f t="shared" si="264"/>
        <v>0</v>
      </c>
    </row>
    <row r="352" spans="1:29" x14ac:dyDescent="0.2">
      <c r="A352" s="1312"/>
      <c r="B352" s="1275"/>
      <c r="C352" s="1275"/>
      <c r="D352" s="1275"/>
      <c r="E352" s="1277" t="s">
        <v>104</v>
      </c>
      <c r="F352" s="1322"/>
      <c r="G352" s="1318" t="s">
        <v>177</v>
      </c>
      <c r="H352" s="1316" t="s">
        <v>178</v>
      </c>
      <c r="I352" s="199" t="s">
        <v>72</v>
      </c>
      <c r="J352" s="315">
        <f>K352+L352+M352+N352</f>
        <v>3500000</v>
      </c>
      <c r="K352" s="316">
        <f t="shared" ref="K352:N353" si="265">K354</f>
        <v>3500000</v>
      </c>
      <c r="L352" s="317">
        <f t="shared" si="265"/>
        <v>0</v>
      </c>
      <c r="M352" s="317">
        <f t="shared" si="265"/>
        <v>0</v>
      </c>
      <c r="N352" s="318">
        <f t="shared" si="265"/>
        <v>0</v>
      </c>
      <c r="O352" s="319">
        <f>P352+Q352+R352+S352</f>
        <v>0</v>
      </c>
      <c r="P352" s="320">
        <f t="shared" ref="P352:S353" si="266">P354</f>
        <v>0</v>
      </c>
      <c r="Q352" s="321">
        <f t="shared" si="266"/>
        <v>0</v>
      </c>
      <c r="R352" s="321">
        <f t="shared" si="266"/>
        <v>0</v>
      </c>
      <c r="S352" s="322">
        <f t="shared" si="266"/>
        <v>0</v>
      </c>
      <c r="T352" s="323">
        <f t="shared" si="248"/>
        <v>500000</v>
      </c>
      <c r="U352" s="324">
        <f t="shared" si="263"/>
        <v>500000</v>
      </c>
      <c r="V352" s="325">
        <f t="shared" si="263"/>
        <v>0</v>
      </c>
      <c r="W352" s="325">
        <f t="shared" si="263"/>
        <v>0</v>
      </c>
      <c r="X352" s="428">
        <f t="shared" si="263"/>
        <v>0</v>
      </c>
      <c r="Y352" s="429">
        <f t="shared" si="250"/>
        <v>3000000</v>
      </c>
      <c r="Z352" s="328">
        <f t="shared" si="264"/>
        <v>3000000</v>
      </c>
      <c r="AA352" s="329">
        <f t="shared" si="264"/>
        <v>0</v>
      </c>
      <c r="AB352" s="329">
        <f t="shared" si="264"/>
        <v>0</v>
      </c>
      <c r="AC352" s="330">
        <f t="shared" si="264"/>
        <v>0</v>
      </c>
    </row>
    <row r="353" spans="1:29" x14ac:dyDescent="0.2">
      <c r="A353" s="1313"/>
      <c r="B353" s="1276"/>
      <c r="C353" s="1276"/>
      <c r="D353" s="1276"/>
      <c r="E353" s="1278"/>
      <c r="F353" s="1323"/>
      <c r="G353" s="1319"/>
      <c r="H353" s="1317"/>
      <c r="I353" s="331" t="s">
        <v>73</v>
      </c>
      <c r="J353" s="332">
        <f>K353+L353+M353+N353</f>
        <v>3500000</v>
      </c>
      <c r="K353" s="333">
        <f t="shared" si="265"/>
        <v>825000</v>
      </c>
      <c r="L353" s="334">
        <f t="shared" si="265"/>
        <v>1483000</v>
      </c>
      <c r="M353" s="334">
        <f t="shared" si="265"/>
        <v>517000</v>
      </c>
      <c r="N353" s="335">
        <f t="shared" si="265"/>
        <v>675000</v>
      </c>
      <c r="O353" s="336">
        <f>P353+Q353+R353+S353</f>
        <v>0</v>
      </c>
      <c r="P353" s="337">
        <f t="shared" si="266"/>
        <v>0</v>
      </c>
      <c r="Q353" s="338">
        <f t="shared" si="266"/>
        <v>0</v>
      </c>
      <c r="R353" s="338">
        <f t="shared" si="266"/>
        <v>0</v>
      </c>
      <c r="S353" s="339">
        <f t="shared" si="266"/>
        <v>0</v>
      </c>
      <c r="T353" s="340">
        <f t="shared" si="248"/>
        <v>500000</v>
      </c>
      <c r="U353" s="341">
        <f t="shared" si="263"/>
        <v>200000</v>
      </c>
      <c r="V353" s="342">
        <f t="shared" si="263"/>
        <v>100000</v>
      </c>
      <c r="W353" s="342">
        <f t="shared" si="263"/>
        <v>100000</v>
      </c>
      <c r="X353" s="432">
        <f t="shared" si="263"/>
        <v>100000</v>
      </c>
      <c r="Y353" s="433">
        <f t="shared" si="250"/>
        <v>3000000</v>
      </c>
      <c r="Z353" s="345">
        <f t="shared" si="264"/>
        <v>625000</v>
      </c>
      <c r="AA353" s="346">
        <f t="shared" si="264"/>
        <v>1383000</v>
      </c>
      <c r="AB353" s="346">
        <f t="shared" si="264"/>
        <v>417000</v>
      </c>
      <c r="AC353" s="347">
        <f t="shared" si="264"/>
        <v>575000</v>
      </c>
    </row>
    <row r="354" spans="1:29" x14ac:dyDescent="0.2">
      <c r="A354" s="1312"/>
      <c r="B354" s="1275"/>
      <c r="C354" s="1275"/>
      <c r="D354" s="1275"/>
      <c r="E354" s="1275"/>
      <c r="F354" s="1314" t="s">
        <v>128</v>
      </c>
      <c r="G354" s="1308" t="s">
        <v>179</v>
      </c>
      <c r="H354" s="1310" t="s">
        <v>180</v>
      </c>
      <c r="I354" s="279" t="s">
        <v>72</v>
      </c>
      <c r="J354" s="280">
        <f t="shared" ref="J354:N355" si="267">O354+T354+Y354</f>
        <v>3500000</v>
      </c>
      <c r="K354" s="281">
        <f t="shared" si="267"/>
        <v>3500000</v>
      </c>
      <c r="L354" s="282">
        <f t="shared" si="267"/>
        <v>0</v>
      </c>
      <c r="M354" s="282">
        <f t="shared" si="267"/>
        <v>0</v>
      </c>
      <c r="N354" s="283">
        <f t="shared" si="267"/>
        <v>0</v>
      </c>
      <c r="O354" s="284">
        <f t="shared" ref="O354:O371" si="268">P354+Q354+R354+S354</f>
        <v>0</v>
      </c>
      <c r="P354" s="281"/>
      <c r="Q354" s="282"/>
      <c r="R354" s="282"/>
      <c r="S354" s="285"/>
      <c r="T354" s="286">
        <f t="shared" si="248"/>
        <v>500000</v>
      </c>
      <c r="U354" s="287">
        <f t="shared" si="263"/>
        <v>500000</v>
      </c>
      <c r="V354" s="288">
        <f t="shared" si="263"/>
        <v>0</v>
      </c>
      <c r="W354" s="288">
        <f t="shared" si="263"/>
        <v>0</v>
      </c>
      <c r="X354" s="430">
        <f t="shared" si="263"/>
        <v>0</v>
      </c>
      <c r="Y354" s="284">
        <f t="shared" si="250"/>
        <v>3000000</v>
      </c>
      <c r="Z354" s="281">
        <f t="shared" si="264"/>
        <v>3000000</v>
      </c>
      <c r="AA354" s="282">
        <f t="shared" si="264"/>
        <v>0</v>
      </c>
      <c r="AB354" s="282">
        <f t="shared" si="264"/>
        <v>0</v>
      </c>
      <c r="AC354" s="283">
        <f t="shared" si="264"/>
        <v>0</v>
      </c>
    </row>
    <row r="355" spans="1:29" x14ac:dyDescent="0.2">
      <c r="A355" s="1313"/>
      <c r="B355" s="1276"/>
      <c r="C355" s="1276"/>
      <c r="D355" s="1276"/>
      <c r="E355" s="1276"/>
      <c r="F355" s="1315"/>
      <c r="G355" s="1309"/>
      <c r="H355" s="1311"/>
      <c r="I355" s="766" t="s">
        <v>73</v>
      </c>
      <c r="J355" s="767">
        <f t="shared" si="267"/>
        <v>3500000</v>
      </c>
      <c r="K355" s="768">
        <f t="shared" si="267"/>
        <v>825000</v>
      </c>
      <c r="L355" s="769">
        <f t="shared" si="267"/>
        <v>1483000</v>
      </c>
      <c r="M355" s="769">
        <f t="shared" si="267"/>
        <v>517000</v>
      </c>
      <c r="N355" s="770">
        <f t="shared" si="267"/>
        <v>675000</v>
      </c>
      <c r="O355" s="771">
        <f t="shared" si="268"/>
        <v>0</v>
      </c>
      <c r="P355" s="768"/>
      <c r="Q355" s="769"/>
      <c r="R355" s="769"/>
      <c r="S355" s="772"/>
      <c r="T355" s="773">
        <f t="shared" si="248"/>
        <v>500000</v>
      </c>
      <c r="U355" s="774">
        <f t="shared" si="263"/>
        <v>200000</v>
      </c>
      <c r="V355" s="775">
        <f t="shared" si="263"/>
        <v>100000</v>
      </c>
      <c r="W355" s="775">
        <f t="shared" si="263"/>
        <v>100000</v>
      </c>
      <c r="X355" s="776">
        <f t="shared" si="263"/>
        <v>100000</v>
      </c>
      <c r="Y355" s="771">
        <f t="shared" si="250"/>
        <v>3000000</v>
      </c>
      <c r="Z355" s="768">
        <f t="shared" si="264"/>
        <v>625000</v>
      </c>
      <c r="AA355" s="769">
        <f t="shared" si="264"/>
        <v>1383000</v>
      </c>
      <c r="AB355" s="769">
        <f t="shared" si="264"/>
        <v>417000</v>
      </c>
      <c r="AC355" s="770">
        <f t="shared" si="264"/>
        <v>575000</v>
      </c>
    </row>
    <row r="356" spans="1:29" x14ac:dyDescent="0.2">
      <c r="A356" s="1312"/>
      <c r="B356" s="1275"/>
      <c r="C356" s="1275"/>
      <c r="D356" s="1275"/>
      <c r="E356" s="1277" t="s">
        <v>107</v>
      </c>
      <c r="F356" s="1322"/>
      <c r="G356" s="1318" t="s">
        <v>181</v>
      </c>
      <c r="H356" s="1316" t="s">
        <v>182</v>
      </c>
      <c r="I356" s="199" t="s">
        <v>72</v>
      </c>
      <c r="J356" s="315">
        <f>K356+L356+M356+N356</f>
        <v>1500000</v>
      </c>
      <c r="K356" s="316">
        <f t="shared" ref="K356:N357" si="269">K358+K360</f>
        <v>1500000</v>
      </c>
      <c r="L356" s="317">
        <f t="shared" si="269"/>
        <v>0</v>
      </c>
      <c r="M356" s="317">
        <f t="shared" si="269"/>
        <v>0</v>
      </c>
      <c r="N356" s="318">
        <f t="shared" si="269"/>
        <v>0</v>
      </c>
      <c r="O356" s="319">
        <f t="shared" si="268"/>
        <v>0</v>
      </c>
      <c r="P356" s="320">
        <f t="shared" ref="P356:S357" si="270">P358+P360</f>
        <v>0</v>
      </c>
      <c r="Q356" s="321">
        <f t="shared" si="270"/>
        <v>0</v>
      </c>
      <c r="R356" s="321">
        <f t="shared" si="270"/>
        <v>0</v>
      </c>
      <c r="S356" s="322">
        <f t="shared" si="270"/>
        <v>0</v>
      </c>
      <c r="T356" s="323">
        <f t="shared" si="248"/>
        <v>550000</v>
      </c>
      <c r="U356" s="324">
        <f t="shared" si="263"/>
        <v>550000</v>
      </c>
      <c r="V356" s="325">
        <f t="shared" si="263"/>
        <v>0</v>
      </c>
      <c r="W356" s="325">
        <f t="shared" si="263"/>
        <v>0</v>
      </c>
      <c r="X356" s="428">
        <f t="shared" si="263"/>
        <v>0</v>
      </c>
      <c r="Y356" s="429">
        <f t="shared" si="250"/>
        <v>950000</v>
      </c>
      <c r="Z356" s="328">
        <f t="shared" si="264"/>
        <v>950000</v>
      </c>
      <c r="AA356" s="329">
        <f t="shared" si="264"/>
        <v>0</v>
      </c>
      <c r="AB356" s="329">
        <f t="shared" si="264"/>
        <v>0</v>
      </c>
      <c r="AC356" s="330">
        <f t="shared" si="264"/>
        <v>0</v>
      </c>
    </row>
    <row r="357" spans="1:29" x14ac:dyDescent="0.2">
      <c r="A357" s="1313"/>
      <c r="B357" s="1276"/>
      <c r="C357" s="1276"/>
      <c r="D357" s="1276"/>
      <c r="E357" s="1278"/>
      <c r="F357" s="1323"/>
      <c r="G357" s="1319"/>
      <c r="H357" s="1317"/>
      <c r="I357" s="331" t="s">
        <v>73</v>
      </c>
      <c r="J357" s="332">
        <f>K357+L357+M357+N357</f>
        <v>1500000</v>
      </c>
      <c r="K357" s="333">
        <f t="shared" si="269"/>
        <v>1500000</v>
      </c>
      <c r="L357" s="334">
        <f t="shared" si="269"/>
        <v>0</v>
      </c>
      <c r="M357" s="334">
        <f t="shared" si="269"/>
        <v>0</v>
      </c>
      <c r="N357" s="335">
        <f t="shared" si="269"/>
        <v>0</v>
      </c>
      <c r="O357" s="336">
        <f t="shared" si="268"/>
        <v>0</v>
      </c>
      <c r="P357" s="337">
        <f t="shared" si="270"/>
        <v>0</v>
      </c>
      <c r="Q357" s="338">
        <f t="shared" si="270"/>
        <v>0</v>
      </c>
      <c r="R357" s="338">
        <f t="shared" si="270"/>
        <v>0</v>
      </c>
      <c r="S357" s="339">
        <f t="shared" si="270"/>
        <v>0</v>
      </c>
      <c r="T357" s="340">
        <f t="shared" si="248"/>
        <v>550000</v>
      </c>
      <c r="U357" s="341">
        <f t="shared" si="263"/>
        <v>550000</v>
      </c>
      <c r="V357" s="342">
        <f t="shared" si="263"/>
        <v>0</v>
      </c>
      <c r="W357" s="342">
        <f t="shared" si="263"/>
        <v>0</v>
      </c>
      <c r="X357" s="432">
        <f t="shared" si="263"/>
        <v>0</v>
      </c>
      <c r="Y357" s="433">
        <f t="shared" si="250"/>
        <v>950000</v>
      </c>
      <c r="Z357" s="345">
        <f t="shared" si="264"/>
        <v>950000</v>
      </c>
      <c r="AA357" s="346">
        <f t="shared" si="264"/>
        <v>0</v>
      </c>
      <c r="AB357" s="346">
        <f t="shared" si="264"/>
        <v>0</v>
      </c>
      <c r="AC357" s="347">
        <f t="shared" si="264"/>
        <v>0</v>
      </c>
    </row>
    <row r="358" spans="1:29" x14ac:dyDescent="0.2">
      <c r="A358" s="1312"/>
      <c r="B358" s="1275"/>
      <c r="C358" s="1275"/>
      <c r="D358" s="1275"/>
      <c r="E358" s="1275"/>
      <c r="F358" s="1314" t="s">
        <v>74</v>
      </c>
      <c r="G358" s="1308" t="s">
        <v>183</v>
      </c>
      <c r="H358" s="1310" t="s">
        <v>184</v>
      </c>
      <c r="I358" s="279" t="s">
        <v>72</v>
      </c>
      <c r="J358" s="280">
        <f t="shared" ref="J358:N371" si="271">O358+T358+Y358</f>
        <v>1100000</v>
      </c>
      <c r="K358" s="281">
        <f t="shared" si="271"/>
        <v>1100000</v>
      </c>
      <c r="L358" s="282">
        <f t="shared" si="271"/>
        <v>0</v>
      </c>
      <c r="M358" s="282">
        <f t="shared" si="271"/>
        <v>0</v>
      </c>
      <c r="N358" s="283">
        <f t="shared" si="271"/>
        <v>0</v>
      </c>
      <c r="O358" s="284">
        <f t="shared" si="268"/>
        <v>0</v>
      </c>
      <c r="P358" s="281"/>
      <c r="Q358" s="282"/>
      <c r="R358" s="282"/>
      <c r="S358" s="285"/>
      <c r="T358" s="286">
        <f t="shared" si="248"/>
        <v>450000</v>
      </c>
      <c r="U358" s="287">
        <f t="shared" si="263"/>
        <v>450000</v>
      </c>
      <c r="V358" s="288">
        <f t="shared" si="263"/>
        <v>0</v>
      </c>
      <c r="W358" s="288">
        <f t="shared" si="263"/>
        <v>0</v>
      </c>
      <c r="X358" s="430">
        <f t="shared" si="263"/>
        <v>0</v>
      </c>
      <c r="Y358" s="284">
        <f t="shared" si="250"/>
        <v>650000</v>
      </c>
      <c r="Z358" s="281">
        <f t="shared" si="264"/>
        <v>650000</v>
      </c>
      <c r="AA358" s="282">
        <f t="shared" si="264"/>
        <v>0</v>
      </c>
      <c r="AB358" s="282">
        <f t="shared" si="264"/>
        <v>0</v>
      </c>
      <c r="AC358" s="283">
        <f t="shared" si="264"/>
        <v>0</v>
      </c>
    </row>
    <row r="359" spans="1:29" x14ac:dyDescent="0.2">
      <c r="A359" s="1313"/>
      <c r="B359" s="1276"/>
      <c r="C359" s="1276"/>
      <c r="D359" s="1276"/>
      <c r="E359" s="1276"/>
      <c r="F359" s="1315"/>
      <c r="G359" s="1309"/>
      <c r="H359" s="1311"/>
      <c r="I359" s="766" t="s">
        <v>73</v>
      </c>
      <c r="J359" s="767">
        <f t="shared" si="271"/>
        <v>1100000</v>
      </c>
      <c r="K359" s="768">
        <f t="shared" si="271"/>
        <v>1100000</v>
      </c>
      <c r="L359" s="769">
        <f t="shared" si="271"/>
        <v>0</v>
      </c>
      <c r="M359" s="769">
        <f t="shared" si="271"/>
        <v>0</v>
      </c>
      <c r="N359" s="770">
        <f t="shared" si="271"/>
        <v>0</v>
      </c>
      <c r="O359" s="771">
        <f t="shared" si="268"/>
        <v>0</v>
      </c>
      <c r="P359" s="768"/>
      <c r="Q359" s="769"/>
      <c r="R359" s="769"/>
      <c r="S359" s="772"/>
      <c r="T359" s="773">
        <f t="shared" si="248"/>
        <v>450000</v>
      </c>
      <c r="U359" s="774">
        <f t="shared" si="263"/>
        <v>450000</v>
      </c>
      <c r="V359" s="775">
        <f t="shared" si="263"/>
        <v>0</v>
      </c>
      <c r="W359" s="775">
        <f t="shared" si="263"/>
        <v>0</v>
      </c>
      <c r="X359" s="776">
        <f t="shared" si="263"/>
        <v>0</v>
      </c>
      <c r="Y359" s="771">
        <f t="shared" si="250"/>
        <v>650000</v>
      </c>
      <c r="Z359" s="768">
        <f t="shared" si="264"/>
        <v>650000</v>
      </c>
      <c r="AA359" s="769">
        <f t="shared" si="264"/>
        <v>0</v>
      </c>
      <c r="AB359" s="769">
        <f t="shared" si="264"/>
        <v>0</v>
      </c>
      <c r="AC359" s="770">
        <f t="shared" si="264"/>
        <v>0</v>
      </c>
    </row>
    <row r="360" spans="1:29" x14ac:dyDescent="0.2">
      <c r="A360" s="1312"/>
      <c r="B360" s="1275"/>
      <c r="C360" s="1275"/>
      <c r="D360" s="1275"/>
      <c r="E360" s="1275"/>
      <c r="F360" s="1314" t="s">
        <v>131</v>
      </c>
      <c r="G360" s="1308" t="s">
        <v>185</v>
      </c>
      <c r="H360" s="1310" t="s">
        <v>186</v>
      </c>
      <c r="I360" s="279" t="s">
        <v>72</v>
      </c>
      <c r="J360" s="280">
        <f t="shared" si="271"/>
        <v>400000</v>
      </c>
      <c r="K360" s="281">
        <f t="shared" si="271"/>
        <v>400000</v>
      </c>
      <c r="L360" s="282">
        <f t="shared" si="271"/>
        <v>0</v>
      </c>
      <c r="M360" s="282">
        <f t="shared" si="271"/>
        <v>0</v>
      </c>
      <c r="N360" s="283">
        <f t="shared" si="271"/>
        <v>0</v>
      </c>
      <c r="O360" s="284">
        <f t="shared" si="268"/>
        <v>0</v>
      </c>
      <c r="P360" s="281"/>
      <c r="Q360" s="282"/>
      <c r="R360" s="282"/>
      <c r="S360" s="285"/>
      <c r="T360" s="286">
        <f t="shared" si="248"/>
        <v>100000</v>
      </c>
      <c r="U360" s="287">
        <f t="shared" si="263"/>
        <v>100000</v>
      </c>
      <c r="V360" s="288">
        <f t="shared" si="263"/>
        <v>0</v>
      </c>
      <c r="W360" s="288">
        <f t="shared" si="263"/>
        <v>0</v>
      </c>
      <c r="X360" s="430">
        <f t="shared" si="263"/>
        <v>0</v>
      </c>
      <c r="Y360" s="284">
        <f t="shared" si="250"/>
        <v>300000</v>
      </c>
      <c r="Z360" s="281">
        <f t="shared" si="264"/>
        <v>300000</v>
      </c>
      <c r="AA360" s="282">
        <f t="shared" si="264"/>
        <v>0</v>
      </c>
      <c r="AB360" s="282">
        <f t="shared" si="264"/>
        <v>0</v>
      </c>
      <c r="AC360" s="283">
        <f t="shared" si="264"/>
        <v>0</v>
      </c>
    </row>
    <row r="361" spans="1:29" x14ac:dyDescent="0.2">
      <c r="A361" s="1313"/>
      <c r="B361" s="1276"/>
      <c r="C361" s="1276"/>
      <c r="D361" s="1276"/>
      <c r="E361" s="1276"/>
      <c r="F361" s="1315"/>
      <c r="G361" s="1309"/>
      <c r="H361" s="1311"/>
      <c r="I361" s="766" t="s">
        <v>73</v>
      </c>
      <c r="J361" s="767">
        <f t="shared" si="271"/>
        <v>400000</v>
      </c>
      <c r="K361" s="768">
        <f t="shared" si="271"/>
        <v>400000</v>
      </c>
      <c r="L361" s="769">
        <f t="shared" si="271"/>
        <v>0</v>
      </c>
      <c r="M361" s="769">
        <f t="shared" si="271"/>
        <v>0</v>
      </c>
      <c r="N361" s="770">
        <f t="shared" si="271"/>
        <v>0</v>
      </c>
      <c r="O361" s="771">
        <f t="shared" si="268"/>
        <v>0</v>
      </c>
      <c r="P361" s="768"/>
      <c r="Q361" s="769"/>
      <c r="R361" s="769"/>
      <c r="S361" s="772"/>
      <c r="T361" s="773">
        <f t="shared" si="248"/>
        <v>100000</v>
      </c>
      <c r="U361" s="774">
        <f t="shared" si="263"/>
        <v>100000</v>
      </c>
      <c r="V361" s="775">
        <f t="shared" si="263"/>
        <v>0</v>
      </c>
      <c r="W361" s="775">
        <f t="shared" si="263"/>
        <v>0</v>
      </c>
      <c r="X361" s="776">
        <f t="shared" si="263"/>
        <v>0</v>
      </c>
      <c r="Y361" s="771">
        <f t="shared" si="250"/>
        <v>300000</v>
      </c>
      <c r="Z361" s="768">
        <f t="shared" si="264"/>
        <v>300000</v>
      </c>
      <c r="AA361" s="769">
        <f t="shared" si="264"/>
        <v>0</v>
      </c>
      <c r="AB361" s="769">
        <f t="shared" si="264"/>
        <v>0</v>
      </c>
      <c r="AC361" s="770">
        <f t="shared" si="264"/>
        <v>0</v>
      </c>
    </row>
    <row r="362" spans="1:29" x14ac:dyDescent="0.2">
      <c r="A362" s="1312"/>
      <c r="B362" s="1275"/>
      <c r="C362" s="1275"/>
      <c r="D362" s="1275"/>
      <c r="E362" s="1277" t="s">
        <v>187</v>
      </c>
      <c r="F362" s="1322"/>
      <c r="G362" s="1334" t="s">
        <v>188</v>
      </c>
      <c r="H362" s="1310" t="s">
        <v>189</v>
      </c>
      <c r="I362" s="279" t="s">
        <v>72</v>
      </c>
      <c r="J362" s="280">
        <f t="shared" si="271"/>
        <v>100000</v>
      </c>
      <c r="K362" s="281">
        <f t="shared" si="271"/>
        <v>100000</v>
      </c>
      <c r="L362" s="282">
        <f t="shared" si="271"/>
        <v>0</v>
      </c>
      <c r="M362" s="282">
        <f t="shared" si="271"/>
        <v>0</v>
      </c>
      <c r="N362" s="283">
        <f t="shared" si="271"/>
        <v>0</v>
      </c>
      <c r="O362" s="284">
        <f t="shared" si="268"/>
        <v>0</v>
      </c>
      <c r="P362" s="281"/>
      <c r="Q362" s="282"/>
      <c r="R362" s="282"/>
      <c r="S362" s="285"/>
      <c r="T362" s="286">
        <f t="shared" si="248"/>
        <v>50000</v>
      </c>
      <c r="U362" s="287">
        <f t="shared" ref="U362:X371" si="272">U131*1000</f>
        <v>50000</v>
      </c>
      <c r="V362" s="288">
        <f t="shared" si="272"/>
        <v>0</v>
      </c>
      <c r="W362" s="288">
        <f t="shared" si="272"/>
        <v>0</v>
      </c>
      <c r="X362" s="430">
        <f t="shared" si="272"/>
        <v>0</v>
      </c>
      <c r="Y362" s="284">
        <f t="shared" si="250"/>
        <v>50000</v>
      </c>
      <c r="Z362" s="281">
        <f t="shared" ref="Z362:AC371" si="273">Z131*1000</f>
        <v>50000</v>
      </c>
      <c r="AA362" s="282">
        <f t="shared" si="273"/>
        <v>0</v>
      </c>
      <c r="AB362" s="282">
        <f t="shared" si="273"/>
        <v>0</v>
      </c>
      <c r="AC362" s="283">
        <f t="shared" si="273"/>
        <v>0</v>
      </c>
    </row>
    <row r="363" spans="1:29" x14ac:dyDescent="0.2">
      <c r="A363" s="1313"/>
      <c r="B363" s="1276"/>
      <c r="C363" s="1276"/>
      <c r="D363" s="1276"/>
      <c r="E363" s="1278"/>
      <c r="F363" s="1323"/>
      <c r="G363" s="1335"/>
      <c r="H363" s="1311"/>
      <c r="I363" s="766" t="s">
        <v>73</v>
      </c>
      <c r="J363" s="767">
        <f t="shared" si="271"/>
        <v>100000</v>
      </c>
      <c r="K363" s="768">
        <f t="shared" si="271"/>
        <v>100000</v>
      </c>
      <c r="L363" s="769">
        <f t="shared" si="271"/>
        <v>0</v>
      </c>
      <c r="M363" s="769">
        <f t="shared" si="271"/>
        <v>0</v>
      </c>
      <c r="N363" s="770">
        <f t="shared" si="271"/>
        <v>0</v>
      </c>
      <c r="O363" s="771">
        <f t="shared" si="268"/>
        <v>0</v>
      </c>
      <c r="P363" s="768"/>
      <c r="Q363" s="769"/>
      <c r="R363" s="769"/>
      <c r="S363" s="772"/>
      <c r="T363" s="773">
        <f t="shared" si="248"/>
        <v>50000</v>
      </c>
      <c r="U363" s="774">
        <f t="shared" si="272"/>
        <v>50000</v>
      </c>
      <c r="V363" s="775">
        <f t="shared" si="272"/>
        <v>0</v>
      </c>
      <c r="W363" s="775">
        <f t="shared" si="272"/>
        <v>0</v>
      </c>
      <c r="X363" s="776">
        <f t="shared" si="272"/>
        <v>0</v>
      </c>
      <c r="Y363" s="771">
        <f t="shared" si="250"/>
        <v>50000</v>
      </c>
      <c r="Z363" s="768">
        <f t="shared" si="273"/>
        <v>50000</v>
      </c>
      <c r="AA363" s="769">
        <f t="shared" si="273"/>
        <v>0</v>
      </c>
      <c r="AB363" s="769">
        <f t="shared" si="273"/>
        <v>0</v>
      </c>
      <c r="AC363" s="770">
        <f t="shared" si="273"/>
        <v>0</v>
      </c>
    </row>
    <row r="364" spans="1:29" x14ac:dyDescent="0.2">
      <c r="A364" s="1312"/>
      <c r="B364" s="1275"/>
      <c r="C364" s="1275"/>
      <c r="D364" s="1275"/>
      <c r="E364" s="1277" t="s">
        <v>115</v>
      </c>
      <c r="F364" s="1322"/>
      <c r="G364" s="1334" t="s">
        <v>190</v>
      </c>
      <c r="H364" s="1310" t="s">
        <v>191</v>
      </c>
      <c r="I364" s="279" t="s">
        <v>72</v>
      </c>
      <c r="J364" s="280">
        <f t="shared" si="271"/>
        <v>450000</v>
      </c>
      <c r="K364" s="281">
        <f t="shared" si="271"/>
        <v>450000</v>
      </c>
      <c r="L364" s="282">
        <f t="shared" si="271"/>
        <v>0</v>
      </c>
      <c r="M364" s="282">
        <f t="shared" si="271"/>
        <v>0</v>
      </c>
      <c r="N364" s="283">
        <f t="shared" si="271"/>
        <v>0</v>
      </c>
      <c r="O364" s="284">
        <f t="shared" si="268"/>
        <v>0</v>
      </c>
      <c r="P364" s="281"/>
      <c r="Q364" s="282"/>
      <c r="R364" s="282"/>
      <c r="S364" s="285"/>
      <c r="T364" s="286">
        <f t="shared" si="248"/>
        <v>200000</v>
      </c>
      <c r="U364" s="287">
        <f t="shared" si="272"/>
        <v>200000</v>
      </c>
      <c r="V364" s="288">
        <f t="shared" si="272"/>
        <v>0</v>
      </c>
      <c r="W364" s="288">
        <f t="shared" si="272"/>
        <v>0</v>
      </c>
      <c r="X364" s="430">
        <f t="shared" si="272"/>
        <v>0</v>
      </c>
      <c r="Y364" s="284">
        <f t="shared" si="250"/>
        <v>250000</v>
      </c>
      <c r="Z364" s="281">
        <f t="shared" si="273"/>
        <v>250000</v>
      </c>
      <c r="AA364" s="282">
        <f t="shared" si="273"/>
        <v>0</v>
      </c>
      <c r="AB364" s="282">
        <f t="shared" si="273"/>
        <v>0</v>
      </c>
      <c r="AC364" s="283">
        <f t="shared" si="273"/>
        <v>0</v>
      </c>
    </row>
    <row r="365" spans="1:29" x14ac:dyDescent="0.2">
      <c r="A365" s="1313"/>
      <c r="B365" s="1276"/>
      <c r="C365" s="1276"/>
      <c r="D365" s="1276"/>
      <c r="E365" s="1278"/>
      <c r="F365" s="1323"/>
      <c r="G365" s="1335"/>
      <c r="H365" s="1311"/>
      <c r="I365" s="766" t="s">
        <v>73</v>
      </c>
      <c r="J365" s="767">
        <f t="shared" si="271"/>
        <v>450000</v>
      </c>
      <c r="K365" s="768">
        <f t="shared" si="271"/>
        <v>450000</v>
      </c>
      <c r="L365" s="769">
        <f t="shared" si="271"/>
        <v>0</v>
      </c>
      <c r="M365" s="769">
        <f t="shared" si="271"/>
        <v>0</v>
      </c>
      <c r="N365" s="770">
        <f t="shared" si="271"/>
        <v>0</v>
      </c>
      <c r="O365" s="771">
        <f t="shared" si="268"/>
        <v>0</v>
      </c>
      <c r="P365" s="768"/>
      <c r="Q365" s="769"/>
      <c r="R365" s="769"/>
      <c r="S365" s="772"/>
      <c r="T365" s="773">
        <f t="shared" si="248"/>
        <v>200000</v>
      </c>
      <c r="U365" s="774">
        <f t="shared" si="272"/>
        <v>200000</v>
      </c>
      <c r="V365" s="775">
        <f t="shared" si="272"/>
        <v>0</v>
      </c>
      <c r="W365" s="775">
        <f t="shared" si="272"/>
        <v>0</v>
      </c>
      <c r="X365" s="776">
        <f t="shared" si="272"/>
        <v>0</v>
      </c>
      <c r="Y365" s="771">
        <f t="shared" si="250"/>
        <v>250000</v>
      </c>
      <c r="Z365" s="768">
        <f t="shared" si="273"/>
        <v>250000</v>
      </c>
      <c r="AA365" s="769">
        <f t="shared" si="273"/>
        <v>0</v>
      </c>
      <c r="AB365" s="769">
        <f t="shared" si="273"/>
        <v>0</v>
      </c>
      <c r="AC365" s="770">
        <f t="shared" si="273"/>
        <v>0</v>
      </c>
    </row>
    <row r="366" spans="1:29" ht="15" customHeight="1" x14ac:dyDescent="0.2">
      <c r="A366" s="1312"/>
      <c r="B366" s="1275"/>
      <c r="C366" s="1275"/>
      <c r="D366" s="1275"/>
      <c r="E366" s="1277" t="s">
        <v>118</v>
      </c>
      <c r="F366" s="1322"/>
      <c r="G366" s="1334" t="s">
        <v>192</v>
      </c>
      <c r="H366" s="1310" t="s">
        <v>193</v>
      </c>
      <c r="I366" s="279" t="s">
        <v>72</v>
      </c>
      <c r="J366" s="280">
        <f t="shared" si="271"/>
        <v>2500000</v>
      </c>
      <c r="K366" s="281">
        <f t="shared" si="271"/>
        <v>2500000</v>
      </c>
      <c r="L366" s="282">
        <f t="shared" si="271"/>
        <v>0</v>
      </c>
      <c r="M366" s="282">
        <f t="shared" si="271"/>
        <v>0</v>
      </c>
      <c r="N366" s="283">
        <f t="shared" si="271"/>
        <v>0</v>
      </c>
      <c r="O366" s="284">
        <f t="shared" si="268"/>
        <v>0</v>
      </c>
      <c r="P366" s="281"/>
      <c r="Q366" s="282"/>
      <c r="R366" s="282"/>
      <c r="S366" s="285"/>
      <c r="T366" s="286">
        <f t="shared" si="248"/>
        <v>2000000</v>
      </c>
      <c r="U366" s="287">
        <f t="shared" si="272"/>
        <v>2000000</v>
      </c>
      <c r="V366" s="288">
        <f t="shared" si="272"/>
        <v>0</v>
      </c>
      <c r="W366" s="288">
        <f t="shared" si="272"/>
        <v>0</v>
      </c>
      <c r="X366" s="430">
        <f t="shared" si="272"/>
        <v>0</v>
      </c>
      <c r="Y366" s="284">
        <f t="shared" si="250"/>
        <v>500000</v>
      </c>
      <c r="Z366" s="281">
        <f t="shared" si="273"/>
        <v>500000</v>
      </c>
      <c r="AA366" s="282">
        <f t="shared" si="273"/>
        <v>0</v>
      </c>
      <c r="AB366" s="282">
        <f t="shared" si="273"/>
        <v>0</v>
      </c>
      <c r="AC366" s="283">
        <f t="shared" si="273"/>
        <v>0</v>
      </c>
    </row>
    <row r="367" spans="1:29" ht="15" customHeight="1" x14ac:dyDescent="0.2">
      <c r="A367" s="1313"/>
      <c r="B367" s="1276"/>
      <c r="C367" s="1276"/>
      <c r="D367" s="1276"/>
      <c r="E367" s="1278"/>
      <c r="F367" s="1323"/>
      <c r="G367" s="1335"/>
      <c r="H367" s="1311"/>
      <c r="I367" s="766" t="s">
        <v>73</v>
      </c>
      <c r="J367" s="767">
        <f t="shared" si="271"/>
        <v>2500000</v>
      </c>
      <c r="K367" s="768">
        <f t="shared" si="271"/>
        <v>1300000</v>
      </c>
      <c r="L367" s="769">
        <f t="shared" si="271"/>
        <v>400000</v>
      </c>
      <c r="M367" s="769">
        <f t="shared" si="271"/>
        <v>400000</v>
      </c>
      <c r="N367" s="770">
        <f t="shared" si="271"/>
        <v>400000</v>
      </c>
      <c r="O367" s="771">
        <f t="shared" si="268"/>
        <v>0</v>
      </c>
      <c r="P367" s="768"/>
      <c r="Q367" s="769"/>
      <c r="R367" s="769"/>
      <c r="S367" s="772"/>
      <c r="T367" s="773">
        <f t="shared" si="248"/>
        <v>2000000</v>
      </c>
      <c r="U367" s="774">
        <f t="shared" si="272"/>
        <v>800000</v>
      </c>
      <c r="V367" s="775">
        <f t="shared" si="272"/>
        <v>400000</v>
      </c>
      <c r="W367" s="775">
        <f t="shared" si="272"/>
        <v>400000</v>
      </c>
      <c r="X367" s="776">
        <f t="shared" si="272"/>
        <v>400000</v>
      </c>
      <c r="Y367" s="771">
        <f t="shared" si="250"/>
        <v>500000</v>
      </c>
      <c r="Z367" s="768">
        <f t="shared" si="273"/>
        <v>500000</v>
      </c>
      <c r="AA367" s="769">
        <f t="shared" si="273"/>
        <v>0</v>
      </c>
      <c r="AB367" s="769">
        <f t="shared" si="273"/>
        <v>0</v>
      </c>
      <c r="AC367" s="770">
        <f t="shared" si="273"/>
        <v>0</v>
      </c>
    </row>
    <row r="368" spans="1:29" ht="22" customHeight="1" x14ac:dyDescent="0.2">
      <c r="A368" s="1312"/>
      <c r="B368" s="1275"/>
      <c r="C368" s="1275"/>
      <c r="D368" s="1275"/>
      <c r="E368" s="1277" t="s">
        <v>121</v>
      </c>
      <c r="F368" s="1322"/>
      <c r="G368" s="1334" t="s">
        <v>194</v>
      </c>
      <c r="H368" s="1310" t="s">
        <v>195</v>
      </c>
      <c r="I368" s="279" t="s">
        <v>72</v>
      </c>
      <c r="J368" s="280">
        <f t="shared" si="271"/>
        <v>3200000</v>
      </c>
      <c r="K368" s="281">
        <f t="shared" si="271"/>
        <v>3200000</v>
      </c>
      <c r="L368" s="282">
        <f t="shared" si="271"/>
        <v>0</v>
      </c>
      <c r="M368" s="282">
        <f t="shared" si="271"/>
        <v>0</v>
      </c>
      <c r="N368" s="283">
        <f t="shared" si="271"/>
        <v>0</v>
      </c>
      <c r="O368" s="284">
        <f t="shared" si="268"/>
        <v>0</v>
      </c>
      <c r="P368" s="281"/>
      <c r="Q368" s="282"/>
      <c r="R368" s="282"/>
      <c r="S368" s="285"/>
      <c r="T368" s="286">
        <f t="shared" si="248"/>
        <v>300000</v>
      </c>
      <c r="U368" s="287">
        <f t="shared" si="272"/>
        <v>300000</v>
      </c>
      <c r="V368" s="288">
        <f t="shared" si="272"/>
        <v>0</v>
      </c>
      <c r="W368" s="288">
        <f t="shared" si="272"/>
        <v>0</v>
      </c>
      <c r="X368" s="430">
        <f t="shared" si="272"/>
        <v>0</v>
      </c>
      <c r="Y368" s="284">
        <f t="shared" si="250"/>
        <v>2900000</v>
      </c>
      <c r="Z368" s="281">
        <f t="shared" si="273"/>
        <v>2900000</v>
      </c>
      <c r="AA368" s="282">
        <f t="shared" si="273"/>
        <v>0</v>
      </c>
      <c r="AB368" s="282">
        <f t="shared" si="273"/>
        <v>0</v>
      </c>
      <c r="AC368" s="283">
        <f t="shared" si="273"/>
        <v>0</v>
      </c>
    </row>
    <row r="369" spans="1:29" ht="22" customHeight="1" x14ac:dyDescent="0.2">
      <c r="A369" s="1313"/>
      <c r="B369" s="1276"/>
      <c r="C369" s="1276"/>
      <c r="D369" s="1276"/>
      <c r="E369" s="1278"/>
      <c r="F369" s="1323"/>
      <c r="G369" s="1335"/>
      <c r="H369" s="1311"/>
      <c r="I369" s="766" t="s">
        <v>73</v>
      </c>
      <c r="J369" s="767">
        <f t="shared" si="271"/>
        <v>3200000</v>
      </c>
      <c r="K369" s="768">
        <f t="shared" si="271"/>
        <v>1950000</v>
      </c>
      <c r="L369" s="769">
        <f t="shared" si="271"/>
        <v>1250000</v>
      </c>
      <c r="M369" s="769">
        <f t="shared" si="271"/>
        <v>0</v>
      </c>
      <c r="N369" s="770">
        <f t="shared" si="271"/>
        <v>0</v>
      </c>
      <c r="O369" s="771">
        <f t="shared" si="268"/>
        <v>0</v>
      </c>
      <c r="P369" s="768"/>
      <c r="Q369" s="769"/>
      <c r="R369" s="769"/>
      <c r="S369" s="772"/>
      <c r="T369" s="773">
        <f t="shared" si="248"/>
        <v>300000</v>
      </c>
      <c r="U369" s="774">
        <f t="shared" si="272"/>
        <v>300000</v>
      </c>
      <c r="V369" s="775">
        <f t="shared" si="272"/>
        <v>0</v>
      </c>
      <c r="W369" s="775">
        <f t="shared" si="272"/>
        <v>0</v>
      </c>
      <c r="X369" s="776">
        <f t="shared" si="272"/>
        <v>0</v>
      </c>
      <c r="Y369" s="771">
        <f t="shared" si="250"/>
        <v>2900000</v>
      </c>
      <c r="Z369" s="768">
        <f t="shared" si="273"/>
        <v>1650000</v>
      </c>
      <c r="AA369" s="769">
        <f t="shared" si="273"/>
        <v>1250000</v>
      </c>
      <c r="AB369" s="769">
        <f t="shared" si="273"/>
        <v>0</v>
      </c>
      <c r="AC369" s="770">
        <f t="shared" si="273"/>
        <v>0</v>
      </c>
    </row>
    <row r="370" spans="1:29" ht="19.5" customHeight="1" x14ac:dyDescent="0.2">
      <c r="A370" s="1312"/>
      <c r="B370" s="1275"/>
      <c r="C370" s="1275"/>
      <c r="D370" s="1275"/>
      <c r="E370" s="1292" t="s">
        <v>196</v>
      </c>
      <c r="F370" s="1322"/>
      <c r="G370" s="1334" t="s">
        <v>197</v>
      </c>
      <c r="H370" s="1327" t="s">
        <v>198</v>
      </c>
      <c r="I370" s="279" t="s">
        <v>72</v>
      </c>
      <c r="J370" s="280">
        <f t="shared" si="271"/>
        <v>450000</v>
      </c>
      <c r="K370" s="281">
        <f t="shared" si="271"/>
        <v>450000</v>
      </c>
      <c r="L370" s="282">
        <f t="shared" si="271"/>
        <v>0</v>
      </c>
      <c r="M370" s="282">
        <f t="shared" si="271"/>
        <v>0</v>
      </c>
      <c r="N370" s="283">
        <f t="shared" si="271"/>
        <v>0</v>
      </c>
      <c r="O370" s="284">
        <f t="shared" si="268"/>
        <v>0</v>
      </c>
      <c r="P370" s="281"/>
      <c r="Q370" s="282"/>
      <c r="R370" s="282"/>
      <c r="S370" s="285"/>
      <c r="T370" s="280">
        <f t="shared" si="248"/>
        <v>100000</v>
      </c>
      <c r="U370" s="352">
        <f t="shared" si="272"/>
        <v>100000</v>
      </c>
      <c r="V370" s="353">
        <f t="shared" si="272"/>
        <v>0</v>
      </c>
      <c r="W370" s="353">
        <f t="shared" si="272"/>
        <v>0</v>
      </c>
      <c r="X370" s="354">
        <f t="shared" si="272"/>
        <v>0</v>
      </c>
      <c r="Y370" s="284">
        <f t="shared" si="250"/>
        <v>350000</v>
      </c>
      <c r="Z370" s="281">
        <f t="shared" si="273"/>
        <v>350000</v>
      </c>
      <c r="AA370" s="282">
        <f t="shared" si="273"/>
        <v>0</v>
      </c>
      <c r="AB370" s="282">
        <f t="shared" si="273"/>
        <v>0</v>
      </c>
      <c r="AC370" s="283">
        <f t="shared" si="273"/>
        <v>0</v>
      </c>
    </row>
    <row r="371" spans="1:29" ht="19.5" customHeight="1" x14ac:dyDescent="0.2">
      <c r="A371" s="1313"/>
      <c r="B371" s="1276"/>
      <c r="C371" s="1276"/>
      <c r="D371" s="1276"/>
      <c r="E371" s="1293"/>
      <c r="F371" s="1323"/>
      <c r="G371" s="1335"/>
      <c r="H371" s="1336"/>
      <c r="I371" s="766" t="s">
        <v>73</v>
      </c>
      <c r="J371" s="767">
        <f t="shared" si="271"/>
        <v>450000</v>
      </c>
      <c r="K371" s="768">
        <f t="shared" si="271"/>
        <v>450000</v>
      </c>
      <c r="L371" s="769">
        <f t="shared" si="271"/>
        <v>0</v>
      </c>
      <c r="M371" s="769">
        <f t="shared" si="271"/>
        <v>0</v>
      </c>
      <c r="N371" s="770">
        <f t="shared" si="271"/>
        <v>0</v>
      </c>
      <c r="O371" s="771">
        <f t="shared" si="268"/>
        <v>0</v>
      </c>
      <c r="P371" s="768"/>
      <c r="Q371" s="769"/>
      <c r="R371" s="769"/>
      <c r="S371" s="772"/>
      <c r="T371" s="773">
        <f t="shared" si="248"/>
        <v>100000</v>
      </c>
      <c r="U371" s="774">
        <f t="shared" si="272"/>
        <v>100000</v>
      </c>
      <c r="V371" s="775">
        <f t="shared" si="272"/>
        <v>0</v>
      </c>
      <c r="W371" s="775">
        <f t="shared" si="272"/>
        <v>0</v>
      </c>
      <c r="X371" s="776">
        <f t="shared" si="272"/>
        <v>0</v>
      </c>
      <c r="Y371" s="771">
        <f t="shared" si="250"/>
        <v>350000</v>
      </c>
      <c r="Z371" s="768">
        <f t="shared" si="273"/>
        <v>350000</v>
      </c>
      <c r="AA371" s="769">
        <f t="shared" si="273"/>
        <v>0</v>
      </c>
      <c r="AB371" s="769">
        <f t="shared" si="273"/>
        <v>0</v>
      </c>
      <c r="AC371" s="770">
        <f t="shared" si="273"/>
        <v>0</v>
      </c>
    </row>
    <row r="372" spans="1:29" x14ac:dyDescent="0.2">
      <c r="A372" s="1312"/>
      <c r="B372" s="1275"/>
      <c r="C372" s="1275"/>
      <c r="D372" s="1275"/>
      <c r="E372" s="1277" t="s">
        <v>128</v>
      </c>
      <c r="F372" s="1322"/>
      <c r="G372" s="1318" t="s">
        <v>199</v>
      </c>
      <c r="H372" s="1316" t="s">
        <v>200</v>
      </c>
      <c r="I372" s="199" t="s">
        <v>72</v>
      </c>
      <c r="J372" s="315">
        <f t="shared" ref="J372:AC373" si="274">J374+J376+J378+J380+J382</f>
        <v>14050000</v>
      </c>
      <c r="K372" s="316">
        <f t="shared" si="274"/>
        <v>14050000</v>
      </c>
      <c r="L372" s="317">
        <f t="shared" si="274"/>
        <v>0</v>
      </c>
      <c r="M372" s="317">
        <f t="shared" si="274"/>
        <v>0</v>
      </c>
      <c r="N372" s="318">
        <f t="shared" si="274"/>
        <v>0</v>
      </c>
      <c r="O372" s="319">
        <f t="shared" si="274"/>
        <v>0</v>
      </c>
      <c r="P372" s="320">
        <f t="shared" si="274"/>
        <v>0</v>
      </c>
      <c r="Q372" s="321">
        <f t="shared" si="274"/>
        <v>0</v>
      </c>
      <c r="R372" s="321">
        <f t="shared" si="274"/>
        <v>0</v>
      </c>
      <c r="S372" s="322">
        <f t="shared" si="274"/>
        <v>0</v>
      </c>
      <c r="T372" s="323">
        <f t="shared" si="274"/>
        <v>1050000</v>
      </c>
      <c r="U372" s="324">
        <f t="shared" si="274"/>
        <v>1050000</v>
      </c>
      <c r="V372" s="325">
        <f t="shared" si="274"/>
        <v>0</v>
      </c>
      <c r="W372" s="325">
        <f t="shared" si="274"/>
        <v>0</v>
      </c>
      <c r="X372" s="428">
        <f t="shared" si="274"/>
        <v>0</v>
      </c>
      <c r="Y372" s="429">
        <f t="shared" si="274"/>
        <v>13000000</v>
      </c>
      <c r="Z372" s="328">
        <f t="shared" si="274"/>
        <v>13000000</v>
      </c>
      <c r="AA372" s="329">
        <f t="shared" si="274"/>
        <v>0</v>
      </c>
      <c r="AB372" s="329">
        <f t="shared" si="274"/>
        <v>0</v>
      </c>
      <c r="AC372" s="330">
        <f t="shared" si="274"/>
        <v>0</v>
      </c>
    </row>
    <row r="373" spans="1:29" x14ac:dyDescent="0.2">
      <c r="A373" s="1313"/>
      <c r="B373" s="1276"/>
      <c r="C373" s="1276"/>
      <c r="D373" s="1276"/>
      <c r="E373" s="1278"/>
      <c r="F373" s="1323"/>
      <c r="G373" s="1319"/>
      <c r="H373" s="1317"/>
      <c r="I373" s="331" t="s">
        <v>73</v>
      </c>
      <c r="J373" s="332">
        <f t="shared" si="274"/>
        <v>14050000</v>
      </c>
      <c r="K373" s="333">
        <f t="shared" si="274"/>
        <v>5625000</v>
      </c>
      <c r="L373" s="334">
        <f t="shared" si="274"/>
        <v>2625000</v>
      </c>
      <c r="M373" s="334">
        <f t="shared" si="274"/>
        <v>2775000</v>
      </c>
      <c r="N373" s="335">
        <f t="shared" si="274"/>
        <v>3025000</v>
      </c>
      <c r="O373" s="336">
        <f t="shared" si="274"/>
        <v>0</v>
      </c>
      <c r="P373" s="337">
        <f t="shared" si="274"/>
        <v>0</v>
      </c>
      <c r="Q373" s="338">
        <f t="shared" si="274"/>
        <v>0</v>
      </c>
      <c r="R373" s="338">
        <f t="shared" si="274"/>
        <v>0</v>
      </c>
      <c r="S373" s="339">
        <f t="shared" si="274"/>
        <v>0</v>
      </c>
      <c r="T373" s="340">
        <f t="shared" si="274"/>
        <v>1050000</v>
      </c>
      <c r="U373" s="341">
        <f t="shared" si="274"/>
        <v>600000</v>
      </c>
      <c r="V373" s="342">
        <f t="shared" si="274"/>
        <v>150000</v>
      </c>
      <c r="W373" s="342">
        <f t="shared" si="274"/>
        <v>150000</v>
      </c>
      <c r="X373" s="432">
        <f t="shared" si="274"/>
        <v>150000</v>
      </c>
      <c r="Y373" s="433">
        <f t="shared" si="274"/>
        <v>13000000</v>
      </c>
      <c r="Z373" s="345">
        <f t="shared" si="274"/>
        <v>5025000</v>
      </c>
      <c r="AA373" s="346">
        <f t="shared" si="274"/>
        <v>2475000</v>
      </c>
      <c r="AB373" s="346">
        <f t="shared" si="274"/>
        <v>2625000</v>
      </c>
      <c r="AC373" s="347">
        <f t="shared" si="274"/>
        <v>2875000</v>
      </c>
    </row>
    <row r="374" spans="1:29" x14ac:dyDescent="0.2">
      <c r="A374" s="1312"/>
      <c r="B374" s="1275"/>
      <c r="C374" s="1275"/>
      <c r="D374" s="1275"/>
      <c r="E374" s="1275"/>
      <c r="F374" s="1314" t="s">
        <v>74</v>
      </c>
      <c r="G374" s="1308" t="s">
        <v>201</v>
      </c>
      <c r="H374" s="1310" t="s">
        <v>202</v>
      </c>
      <c r="I374" s="279" t="s">
        <v>72</v>
      </c>
      <c r="J374" s="280">
        <f t="shared" ref="J374:N383" si="275">O374+T374+Y374</f>
        <v>400000</v>
      </c>
      <c r="K374" s="281">
        <f t="shared" si="275"/>
        <v>400000</v>
      </c>
      <c r="L374" s="282">
        <f t="shared" si="275"/>
        <v>0</v>
      </c>
      <c r="M374" s="282">
        <f t="shared" si="275"/>
        <v>0</v>
      </c>
      <c r="N374" s="283">
        <f t="shared" si="275"/>
        <v>0</v>
      </c>
      <c r="O374" s="284">
        <f t="shared" ref="O374:O383" si="276">P374+Q374+R374+S374</f>
        <v>0</v>
      </c>
      <c r="P374" s="281"/>
      <c r="Q374" s="282"/>
      <c r="R374" s="282"/>
      <c r="S374" s="285"/>
      <c r="T374" s="286">
        <f t="shared" ref="T374:T383" si="277">U374+V374+W374+X374</f>
        <v>200000</v>
      </c>
      <c r="U374" s="287">
        <f t="shared" ref="U374:X383" si="278">U143*1000</f>
        <v>200000</v>
      </c>
      <c r="V374" s="288">
        <f t="shared" si="278"/>
        <v>0</v>
      </c>
      <c r="W374" s="288">
        <f t="shared" si="278"/>
        <v>0</v>
      </c>
      <c r="X374" s="430">
        <f t="shared" si="278"/>
        <v>0</v>
      </c>
      <c r="Y374" s="284">
        <f t="shared" ref="Y374:Y383" si="279">Z374+AA374+AB374+AC374</f>
        <v>200000</v>
      </c>
      <c r="Z374" s="281">
        <f t="shared" ref="Z374:AC383" si="280">Z143*1000</f>
        <v>200000</v>
      </c>
      <c r="AA374" s="282">
        <f t="shared" si="280"/>
        <v>0</v>
      </c>
      <c r="AB374" s="282">
        <f t="shared" si="280"/>
        <v>0</v>
      </c>
      <c r="AC374" s="283">
        <f t="shared" si="280"/>
        <v>0</v>
      </c>
    </row>
    <row r="375" spans="1:29" x14ac:dyDescent="0.2">
      <c r="A375" s="1313"/>
      <c r="B375" s="1276"/>
      <c r="C375" s="1276"/>
      <c r="D375" s="1276"/>
      <c r="E375" s="1276"/>
      <c r="F375" s="1315"/>
      <c r="G375" s="1309"/>
      <c r="H375" s="1311"/>
      <c r="I375" s="766" t="s">
        <v>73</v>
      </c>
      <c r="J375" s="767">
        <f t="shared" si="275"/>
        <v>400000</v>
      </c>
      <c r="K375" s="768">
        <f t="shared" si="275"/>
        <v>400000</v>
      </c>
      <c r="L375" s="769">
        <f t="shared" si="275"/>
        <v>0</v>
      </c>
      <c r="M375" s="769">
        <f t="shared" si="275"/>
        <v>0</v>
      </c>
      <c r="N375" s="770">
        <f t="shared" si="275"/>
        <v>0</v>
      </c>
      <c r="O375" s="771">
        <f t="shared" si="276"/>
        <v>0</v>
      </c>
      <c r="P375" s="768"/>
      <c r="Q375" s="769"/>
      <c r="R375" s="769"/>
      <c r="S375" s="772"/>
      <c r="T375" s="773">
        <f t="shared" si="277"/>
        <v>200000</v>
      </c>
      <c r="U375" s="774">
        <f t="shared" si="278"/>
        <v>200000</v>
      </c>
      <c r="V375" s="775">
        <f t="shared" si="278"/>
        <v>0</v>
      </c>
      <c r="W375" s="775">
        <f t="shared" si="278"/>
        <v>0</v>
      </c>
      <c r="X375" s="776">
        <f t="shared" si="278"/>
        <v>0</v>
      </c>
      <c r="Y375" s="771">
        <f t="shared" si="279"/>
        <v>200000</v>
      </c>
      <c r="Z375" s="768">
        <f t="shared" si="280"/>
        <v>200000</v>
      </c>
      <c r="AA375" s="769">
        <f t="shared" si="280"/>
        <v>0</v>
      </c>
      <c r="AB375" s="769">
        <f t="shared" si="280"/>
        <v>0</v>
      </c>
      <c r="AC375" s="770">
        <f t="shared" si="280"/>
        <v>0</v>
      </c>
    </row>
    <row r="376" spans="1:29" x14ac:dyDescent="0.2">
      <c r="A376" s="1312"/>
      <c r="B376" s="1275"/>
      <c r="C376" s="1275"/>
      <c r="D376" s="1275"/>
      <c r="E376" s="1275"/>
      <c r="F376" s="1314" t="s">
        <v>131</v>
      </c>
      <c r="G376" s="1308" t="s">
        <v>203</v>
      </c>
      <c r="H376" s="1310" t="s">
        <v>204</v>
      </c>
      <c r="I376" s="279" t="s">
        <v>72</v>
      </c>
      <c r="J376" s="280">
        <f t="shared" si="275"/>
        <v>50000</v>
      </c>
      <c r="K376" s="281">
        <f t="shared" si="275"/>
        <v>50000</v>
      </c>
      <c r="L376" s="282">
        <f t="shared" si="275"/>
        <v>0</v>
      </c>
      <c r="M376" s="282">
        <f t="shared" si="275"/>
        <v>0</v>
      </c>
      <c r="N376" s="283">
        <f t="shared" si="275"/>
        <v>0</v>
      </c>
      <c r="O376" s="284">
        <f t="shared" si="276"/>
        <v>0</v>
      </c>
      <c r="P376" s="281"/>
      <c r="Q376" s="282"/>
      <c r="R376" s="282"/>
      <c r="S376" s="285"/>
      <c r="T376" s="286">
        <f t="shared" si="277"/>
        <v>0</v>
      </c>
      <c r="U376" s="287">
        <f t="shared" si="278"/>
        <v>0</v>
      </c>
      <c r="V376" s="288">
        <f t="shared" si="278"/>
        <v>0</v>
      </c>
      <c r="W376" s="288">
        <f t="shared" si="278"/>
        <v>0</v>
      </c>
      <c r="X376" s="430">
        <f t="shared" si="278"/>
        <v>0</v>
      </c>
      <c r="Y376" s="284">
        <f t="shared" si="279"/>
        <v>50000</v>
      </c>
      <c r="Z376" s="281">
        <f t="shared" si="280"/>
        <v>50000</v>
      </c>
      <c r="AA376" s="282">
        <f t="shared" si="280"/>
        <v>0</v>
      </c>
      <c r="AB376" s="282">
        <f t="shared" si="280"/>
        <v>0</v>
      </c>
      <c r="AC376" s="283">
        <f t="shared" si="280"/>
        <v>0</v>
      </c>
    </row>
    <row r="377" spans="1:29" x14ac:dyDescent="0.2">
      <c r="A377" s="1313"/>
      <c r="B377" s="1276"/>
      <c r="C377" s="1276"/>
      <c r="D377" s="1276"/>
      <c r="E377" s="1276"/>
      <c r="F377" s="1315"/>
      <c r="G377" s="1309"/>
      <c r="H377" s="1311"/>
      <c r="I377" s="766" t="s">
        <v>73</v>
      </c>
      <c r="J377" s="767">
        <f t="shared" si="275"/>
        <v>50000</v>
      </c>
      <c r="K377" s="768">
        <f t="shared" si="275"/>
        <v>50000</v>
      </c>
      <c r="L377" s="769">
        <f t="shared" si="275"/>
        <v>0</v>
      </c>
      <c r="M377" s="769">
        <f t="shared" si="275"/>
        <v>0</v>
      </c>
      <c r="N377" s="770">
        <f t="shared" si="275"/>
        <v>0</v>
      </c>
      <c r="O377" s="771">
        <f t="shared" si="276"/>
        <v>0</v>
      </c>
      <c r="P377" s="768"/>
      <c r="Q377" s="769"/>
      <c r="R377" s="769"/>
      <c r="S377" s="772"/>
      <c r="T377" s="773">
        <f t="shared" si="277"/>
        <v>0</v>
      </c>
      <c r="U377" s="774">
        <f t="shared" si="278"/>
        <v>0</v>
      </c>
      <c r="V377" s="775">
        <f t="shared" si="278"/>
        <v>0</v>
      </c>
      <c r="W377" s="775">
        <f t="shared" si="278"/>
        <v>0</v>
      </c>
      <c r="X377" s="776">
        <f t="shared" si="278"/>
        <v>0</v>
      </c>
      <c r="Y377" s="771">
        <f t="shared" si="279"/>
        <v>50000</v>
      </c>
      <c r="Z377" s="768">
        <f t="shared" si="280"/>
        <v>50000</v>
      </c>
      <c r="AA377" s="769">
        <f t="shared" si="280"/>
        <v>0</v>
      </c>
      <c r="AB377" s="769">
        <f t="shared" si="280"/>
        <v>0</v>
      </c>
      <c r="AC377" s="770">
        <f t="shared" si="280"/>
        <v>0</v>
      </c>
    </row>
    <row r="378" spans="1:29" x14ac:dyDescent="0.2">
      <c r="A378" s="1312"/>
      <c r="B378" s="1275"/>
      <c r="C378" s="1275"/>
      <c r="D378" s="1275"/>
      <c r="E378" s="1275"/>
      <c r="F378" s="1314" t="s">
        <v>66</v>
      </c>
      <c r="G378" s="1308" t="s">
        <v>205</v>
      </c>
      <c r="H378" s="1310" t="s">
        <v>206</v>
      </c>
      <c r="I378" s="279" t="s">
        <v>72</v>
      </c>
      <c r="J378" s="280">
        <f t="shared" si="275"/>
        <v>950000</v>
      </c>
      <c r="K378" s="281">
        <f t="shared" si="275"/>
        <v>950000</v>
      </c>
      <c r="L378" s="282">
        <f t="shared" si="275"/>
        <v>0</v>
      </c>
      <c r="M378" s="282">
        <f t="shared" si="275"/>
        <v>0</v>
      </c>
      <c r="N378" s="283">
        <f t="shared" si="275"/>
        <v>0</v>
      </c>
      <c r="O378" s="284">
        <f t="shared" si="276"/>
        <v>0</v>
      </c>
      <c r="P378" s="281"/>
      <c r="Q378" s="282"/>
      <c r="R378" s="282"/>
      <c r="S378" s="285"/>
      <c r="T378" s="286">
        <f t="shared" si="277"/>
        <v>150000</v>
      </c>
      <c r="U378" s="287">
        <f t="shared" si="278"/>
        <v>150000</v>
      </c>
      <c r="V378" s="288">
        <f t="shared" si="278"/>
        <v>0</v>
      </c>
      <c r="W378" s="288">
        <f t="shared" si="278"/>
        <v>0</v>
      </c>
      <c r="X378" s="430">
        <f t="shared" si="278"/>
        <v>0</v>
      </c>
      <c r="Y378" s="284">
        <f t="shared" si="279"/>
        <v>800000</v>
      </c>
      <c r="Z378" s="281">
        <f t="shared" si="280"/>
        <v>800000</v>
      </c>
      <c r="AA378" s="282">
        <f t="shared" si="280"/>
        <v>0</v>
      </c>
      <c r="AB378" s="282">
        <f t="shared" si="280"/>
        <v>0</v>
      </c>
      <c r="AC378" s="283">
        <f t="shared" si="280"/>
        <v>0</v>
      </c>
    </row>
    <row r="379" spans="1:29" x14ac:dyDescent="0.2">
      <c r="A379" s="1313"/>
      <c r="B379" s="1276"/>
      <c r="C379" s="1276"/>
      <c r="D379" s="1276"/>
      <c r="E379" s="1276"/>
      <c r="F379" s="1315"/>
      <c r="G379" s="1309"/>
      <c r="H379" s="1311"/>
      <c r="I379" s="766" t="s">
        <v>73</v>
      </c>
      <c r="J379" s="767">
        <f t="shared" si="275"/>
        <v>950000</v>
      </c>
      <c r="K379" s="768">
        <f t="shared" si="275"/>
        <v>950000</v>
      </c>
      <c r="L379" s="769">
        <f t="shared" si="275"/>
        <v>0</v>
      </c>
      <c r="M379" s="769">
        <f t="shared" si="275"/>
        <v>0</v>
      </c>
      <c r="N379" s="770">
        <f t="shared" si="275"/>
        <v>0</v>
      </c>
      <c r="O379" s="771">
        <f t="shared" si="276"/>
        <v>0</v>
      </c>
      <c r="P379" s="768"/>
      <c r="Q379" s="769"/>
      <c r="R379" s="769"/>
      <c r="S379" s="772"/>
      <c r="T379" s="773">
        <f t="shared" si="277"/>
        <v>150000</v>
      </c>
      <c r="U379" s="774">
        <f t="shared" si="278"/>
        <v>150000</v>
      </c>
      <c r="V379" s="775">
        <f t="shared" si="278"/>
        <v>0</v>
      </c>
      <c r="W379" s="775">
        <f t="shared" si="278"/>
        <v>0</v>
      </c>
      <c r="X379" s="776">
        <f t="shared" si="278"/>
        <v>0</v>
      </c>
      <c r="Y379" s="771">
        <f t="shared" si="279"/>
        <v>800000</v>
      </c>
      <c r="Z379" s="768">
        <f t="shared" si="280"/>
        <v>800000</v>
      </c>
      <c r="AA379" s="769">
        <f t="shared" si="280"/>
        <v>0</v>
      </c>
      <c r="AB379" s="769">
        <f t="shared" si="280"/>
        <v>0</v>
      </c>
      <c r="AC379" s="770">
        <f t="shared" si="280"/>
        <v>0</v>
      </c>
    </row>
    <row r="380" spans="1:29" x14ac:dyDescent="0.2">
      <c r="A380" s="1312"/>
      <c r="B380" s="1275"/>
      <c r="C380" s="1275"/>
      <c r="D380" s="1275"/>
      <c r="E380" s="1275"/>
      <c r="F380" s="1314" t="s">
        <v>146</v>
      </c>
      <c r="G380" s="1308" t="s">
        <v>207</v>
      </c>
      <c r="H380" s="1310" t="s">
        <v>208</v>
      </c>
      <c r="I380" s="279" t="s">
        <v>72</v>
      </c>
      <c r="J380" s="280">
        <f t="shared" si="275"/>
        <v>11050000</v>
      </c>
      <c r="K380" s="281">
        <f t="shared" si="275"/>
        <v>11050000</v>
      </c>
      <c r="L380" s="282">
        <f t="shared" si="275"/>
        <v>0</v>
      </c>
      <c r="M380" s="282">
        <f t="shared" si="275"/>
        <v>0</v>
      </c>
      <c r="N380" s="283">
        <f t="shared" si="275"/>
        <v>0</v>
      </c>
      <c r="O380" s="284">
        <f t="shared" si="276"/>
        <v>0</v>
      </c>
      <c r="P380" s="281"/>
      <c r="Q380" s="282"/>
      <c r="R380" s="282"/>
      <c r="S380" s="285"/>
      <c r="T380" s="286">
        <f t="shared" si="277"/>
        <v>600000</v>
      </c>
      <c r="U380" s="287">
        <f t="shared" si="278"/>
        <v>600000</v>
      </c>
      <c r="V380" s="288">
        <f t="shared" si="278"/>
        <v>0</v>
      </c>
      <c r="W380" s="288">
        <f t="shared" si="278"/>
        <v>0</v>
      </c>
      <c r="X380" s="430">
        <f t="shared" si="278"/>
        <v>0</v>
      </c>
      <c r="Y380" s="284">
        <f t="shared" si="279"/>
        <v>10450000</v>
      </c>
      <c r="Z380" s="281">
        <f t="shared" si="280"/>
        <v>10450000</v>
      </c>
      <c r="AA380" s="282">
        <f t="shared" si="280"/>
        <v>0</v>
      </c>
      <c r="AB380" s="282">
        <f t="shared" si="280"/>
        <v>0</v>
      </c>
      <c r="AC380" s="283">
        <f t="shared" si="280"/>
        <v>0</v>
      </c>
    </row>
    <row r="381" spans="1:29" x14ac:dyDescent="0.2">
      <c r="A381" s="1313"/>
      <c r="B381" s="1276"/>
      <c r="C381" s="1276"/>
      <c r="D381" s="1276"/>
      <c r="E381" s="1276"/>
      <c r="F381" s="1315"/>
      <c r="G381" s="1309"/>
      <c r="H381" s="1311"/>
      <c r="I381" s="766" t="s">
        <v>73</v>
      </c>
      <c r="J381" s="767">
        <f t="shared" si="275"/>
        <v>11050000</v>
      </c>
      <c r="K381" s="768">
        <f t="shared" si="275"/>
        <v>2625000</v>
      </c>
      <c r="L381" s="769">
        <f t="shared" si="275"/>
        <v>2625000</v>
      </c>
      <c r="M381" s="769">
        <f t="shared" si="275"/>
        <v>2775000</v>
      </c>
      <c r="N381" s="770">
        <f t="shared" si="275"/>
        <v>3025000</v>
      </c>
      <c r="O381" s="771">
        <f t="shared" si="276"/>
        <v>0</v>
      </c>
      <c r="P381" s="768"/>
      <c r="Q381" s="769"/>
      <c r="R381" s="769"/>
      <c r="S381" s="772"/>
      <c r="T381" s="773">
        <f t="shared" si="277"/>
        <v>600000</v>
      </c>
      <c r="U381" s="774">
        <f t="shared" si="278"/>
        <v>150000</v>
      </c>
      <c r="V381" s="775">
        <f t="shared" si="278"/>
        <v>150000</v>
      </c>
      <c r="W381" s="775">
        <f t="shared" si="278"/>
        <v>150000</v>
      </c>
      <c r="X381" s="776">
        <f t="shared" si="278"/>
        <v>150000</v>
      </c>
      <c r="Y381" s="771">
        <f t="shared" si="279"/>
        <v>10450000</v>
      </c>
      <c r="Z381" s="768">
        <f t="shared" si="280"/>
        <v>2475000</v>
      </c>
      <c r="AA381" s="769">
        <f t="shared" si="280"/>
        <v>2475000</v>
      </c>
      <c r="AB381" s="769">
        <f t="shared" si="280"/>
        <v>2625000</v>
      </c>
      <c r="AC381" s="770">
        <f t="shared" si="280"/>
        <v>2875000</v>
      </c>
    </row>
    <row r="382" spans="1:29" ht="15" customHeight="1" x14ac:dyDescent="0.2">
      <c r="A382" s="1312"/>
      <c r="B382" s="1275"/>
      <c r="C382" s="1275"/>
      <c r="D382" s="1275"/>
      <c r="E382" s="1275"/>
      <c r="F382" s="1314" t="s">
        <v>128</v>
      </c>
      <c r="G382" s="1308" t="s">
        <v>209</v>
      </c>
      <c r="H382" s="1310" t="s">
        <v>210</v>
      </c>
      <c r="I382" s="279" t="s">
        <v>72</v>
      </c>
      <c r="J382" s="361">
        <f t="shared" si="275"/>
        <v>1600000</v>
      </c>
      <c r="K382" s="362">
        <f t="shared" si="275"/>
        <v>1600000</v>
      </c>
      <c r="L382" s="363">
        <f t="shared" si="275"/>
        <v>0</v>
      </c>
      <c r="M382" s="363">
        <f t="shared" si="275"/>
        <v>0</v>
      </c>
      <c r="N382" s="364">
        <f t="shared" si="275"/>
        <v>0</v>
      </c>
      <c r="O382" s="365">
        <f t="shared" si="276"/>
        <v>0</v>
      </c>
      <c r="P382" s="362"/>
      <c r="Q382" s="363"/>
      <c r="R382" s="363"/>
      <c r="S382" s="366"/>
      <c r="T382" s="367">
        <f t="shared" si="277"/>
        <v>100000</v>
      </c>
      <c r="U382" s="368">
        <f t="shared" si="278"/>
        <v>100000</v>
      </c>
      <c r="V382" s="369">
        <f t="shared" si="278"/>
        <v>0</v>
      </c>
      <c r="W382" s="369">
        <f t="shared" si="278"/>
        <v>0</v>
      </c>
      <c r="X382" s="370">
        <f t="shared" si="278"/>
        <v>0</v>
      </c>
      <c r="Y382" s="365">
        <f t="shared" si="279"/>
        <v>1500000</v>
      </c>
      <c r="Z382" s="362">
        <f t="shared" si="280"/>
        <v>1500000</v>
      </c>
      <c r="AA382" s="363">
        <f t="shared" si="280"/>
        <v>0</v>
      </c>
      <c r="AB382" s="363">
        <f t="shared" si="280"/>
        <v>0</v>
      </c>
      <c r="AC382" s="364">
        <f t="shared" si="280"/>
        <v>0</v>
      </c>
    </row>
    <row r="383" spans="1:29" ht="15" customHeight="1" thickBot="1" x14ac:dyDescent="0.25">
      <c r="A383" s="1332"/>
      <c r="B383" s="1307"/>
      <c r="C383" s="1307"/>
      <c r="D383" s="1307"/>
      <c r="E383" s="1307"/>
      <c r="F383" s="1337"/>
      <c r="G383" s="1326"/>
      <c r="H383" s="1338"/>
      <c r="I383" s="766" t="s">
        <v>73</v>
      </c>
      <c r="J383" s="767">
        <f t="shared" si="275"/>
        <v>1600000</v>
      </c>
      <c r="K383" s="768">
        <f t="shared" si="275"/>
        <v>1600000</v>
      </c>
      <c r="L383" s="769">
        <f t="shared" si="275"/>
        <v>0</v>
      </c>
      <c r="M383" s="769">
        <f t="shared" si="275"/>
        <v>0</v>
      </c>
      <c r="N383" s="770">
        <f t="shared" si="275"/>
        <v>0</v>
      </c>
      <c r="O383" s="771">
        <f t="shared" si="276"/>
        <v>0</v>
      </c>
      <c r="P383" s="768"/>
      <c r="Q383" s="769"/>
      <c r="R383" s="769"/>
      <c r="S383" s="772"/>
      <c r="T383" s="773">
        <f t="shared" si="277"/>
        <v>100000</v>
      </c>
      <c r="U383" s="774">
        <f t="shared" si="278"/>
        <v>100000</v>
      </c>
      <c r="V383" s="775">
        <f t="shared" si="278"/>
        <v>0</v>
      </c>
      <c r="W383" s="775">
        <f t="shared" si="278"/>
        <v>0</v>
      </c>
      <c r="X383" s="776">
        <f t="shared" si="278"/>
        <v>0</v>
      </c>
      <c r="Y383" s="771">
        <f t="shared" si="279"/>
        <v>1500000</v>
      </c>
      <c r="Z383" s="768">
        <f t="shared" si="280"/>
        <v>1500000</v>
      </c>
      <c r="AA383" s="769">
        <f t="shared" si="280"/>
        <v>0</v>
      </c>
      <c r="AB383" s="769">
        <f t="shared" si="280"/>
        <v>0</v>
      </c>
      <c r="AC383" s="770">
        <f t="shared" si="280"/>
        <v>0</v>
      </c>
    </row>
    <row r="384" spans="1:29" ht="22.75" customHeight="1" x14ac:dyDescent="0.2">
      <c r="A384" s="1360"/>
      <c r="B384" s="1283"/>
      <c r="C384" s="1283"/>
      <c r="D384" s="1361" t="s">
        <v>82</v>
      </c>
      <c r="E384" s="1362" t="s">
        <v>74</v>
      </c>
      <c r="F384" s="1267"/>
      <c r="G384" s="1353" t="s">
        <v>83</v>
      </c>
      <c r="H384" s="1355" t="s">
        <v>211</v>
      </c>
      <c r="I384" s="436" t="s">
        <v>72</v>
      </c>
      <c r="J384" s="437">
        <f>J386+J388</f>
        <v>439439000</v>
      </c>
      <c r="K384" s="438">
        <f>K386+K388</f>
        <v>439439000</v>
      </c>
      <c r="L384" s="439">
        <f t="shared" ref="L384:N385" si="281">L386+L388</f>
        <v>0</v>
      </c>
      <c r="M384" s="439">
        <f t="shared" si="281"/>
        <v>0</v>
      </c>
      <c r="N384" s="440">
        <f t="shared" si="281"/>
        <v>0</v>
      </c>
      <c r="O384" s="441">
        <f>O386+O388</f>
        <v>0</v>
      </c>
      <c r="P384" s="442">
        <f>P386+P388</f>
        <v>0</v>
      </c>
      <c r="Q384" s="443">
        <f t="shared" ref="Q384:S385" si="282">Q386+Q388</f>
        <v>0</v>
      </c>
      <c r="R384" s="443">
        <f t="shared" si="282"/>
        <v>0</v>
      </c>
      <c r="S384" s="444">
        <f t="shared" si="282"/>
        <v>0</v>
      </c>
      <c r="T384" s="445">
        <f>T386+T388</f>
        <v>439439000</v>
      </c>
      <c r="U384" s="446">
        <f>U386+U388</f>
        <v>439439000</v>
      </c>
      <c r="V384" s="447">
        <f t="shared" ref="V384:X385" si="283">V386+V388</f>
        <v>0</v>
      </c>
      <c r="W384" s="447">
        <f t="shared" si="283"/>
        <v>0</v>
      </c>
      <c r="X384" s="448">
        <f t="shared" si="283"/>
        <v>0</v>
      </c>
      <c r="Y384" s="449">
        <f>Y386+Y388</f>
        <v>0</v>
      </c>
      <c r="Z384" s="450">
        <f>Z386+Z388</f>
        <v>0</v>
      </c>
      <c r="AA384" s="451">
        <f t="shared" ref="AA384:AC385" si="284">AA386+AA388</f>
        <v>0</v>
      </c>
      <c r="AB384" s="451">
        <f t="shared" si="284"/>
        <v>0</v>
      </c>
      <c r="AC384" s="452">
        <f t="shared" si="284"/>
        <v>0</v>
      </c>
    </row>
    <row r="385" spans="1:29" ht="22.75" customHeight="1" x14ac:dyDescent="0.2">
      <c r="A385" s="1313"/>
      <c r="B385" s="1276"/>
      <c r="C385" s="1276"/>
      <c r="D385" s="1297"/>
      <c r="E385" s="1357"/>
      <c r="F385" s="1323"/>
      <c r="G385" s="1354"/>
      <c r="H385" s="1301"/>
      <c r="I385" s="331" t="s">
        <v>73</v>
      </c>
      <c r="J385" s="454">
        <f>J387+J389</f>
        <v>351846000</v>
      </c>
      <c r="K385" s="455">
        <f>K387+K389</f>
        <v>116500000</v>
      </c>
      <c r="L385" s="456">
        <f t="shared" si="281"/>
        <v>81500000</v>
      </c>
      <c r="M385" s="456">
        <f t="shared" si="281"/>
        <v>64500000</v>
      </c>
      <c r="N385" s="457">
        <f t="shared" si="281"/>
        <v>89346000</v>
      </c>
      <c r="O385" s="458">
        <f>O387+O389</f>
        <v>0</v>
      </c>
      <c r="P385" s="459">
        <f>P387+P389</f>
        <v>0</v>
      </c>
      <c r="Q385" s="460">
        <f t="shared" si="282"/>
        <v>0</v>
      </c>
      <c r="R385" s="460">
        <f t="shared" si="282"/>
        <v>0</v>
      </c>
      <c r="S385" s="461">
        <f t="shared" si="282"/>
        <v>0</v>
      </c>
      <c r="T385" s="462">
        <f>T387+T389</f>
        <v>351846000</v>
      </c>
      <c r="U385" s="463">
        <f>U387+U389</f>
        <v>116500000</v>
      </c>
      <c r="V385" s="464">
        <f t="shared" si="283"/>
        <v>81500000</v>
      </c>
      <c r="W385" s="464">
        <f t="shared" si="283"/>
        <v>64500000</v>
      </c>
      <c r="X385" s="465">
        <f t="shared" si="283"/>
        <v>89346000</v>
      </c>
      <c r="Y385" s="466">
        <f>Y387+Y389</f>
        <v>0</v>
      </c>
      <c r="Z385" s="467">
        <f>Z387+Z389</f>
        <v>0</v>
      </c>
      <c r="AA385" s="468">
        <f t="shared" si="284"/>
        <v>0</v>
      </c>
      <c r="AB385" s="468">
        <f t="shared" si="284"/>
        <v>0</v>
      </c>
      <c r="AC385" s="469">
        <f t="shared" si="284"/>
        <v>0</v>
      </c>
    </row>
    <row r="386" spans="1:29" ht="22" hidden="1" customHeight="1" x14ac:dyDescent="0.2">
      <c r="A386" s="1312"/>
      <c r="B386" s="1275"/>
      <c r="C386" s="1275"/>
      <c r="D386" s="1275"/>
      <c r="E386" s="1275"/>
      <c r="F386" s="1356" t="s">
        <v>74</v>
      </c>
      <c r="G386" s="1339" t="s">
        <v>212</v>
      </c>
      <c r="H386" s="1341" t="s">
        <v>213</v>
      </c>
      <c r="I386" s="470" t="s">
        <v>72</v>
      </c>
      <c r="J386" s="471">
        <f t="shared" ref="J386:N389" si="285">O386+T386+Y386</f>
        <v>0</v>
      </c>
      <c r="K386" s="472">
        <f t="shared" si="285"/>
        <v>0</v>
      </c>
      <c r="L386" s="473">
        <f t="shared" si="285"/>
        <v>0</v>
      </c>
      <c r="M386" s="473">
        <f t="shared" si="285"/>
        <v>0</v>
      </c>
      <c r="N386" s="474">
        <f t="shared" si="285"/>
        <v>0</v>
      </c>
      <c r="O386" s="475">
        <f>P386+Q386+R386+S386</f>
        <v>0</v>
      </c>
      <c r="P386" s="472"/>
      <c r="Q386" s="473"/>
      <c r="R386" s="473"/>
      <c r="S386" s="476"/>
      <c r="T386" s="477">
        <f>U386+V386+W386+X386</f>
        <v>0</v>
      </c>
      <c r="U386" s="478">
        <f t="shared" ref="U386:X389" si="286">U155*1000</f>
        <v>0</v>
      </c>
      <c r="V386" s="479">
        <f t="shared" si="286"/>
        <v>0</v>
      </c>
      <c r="W386" s="479">
        <f t="shared" si="286"/>
        <v>0</v>
      </c>
      <c r="X386" s="480">
        <f t="shared" si="286"/>
        <v>0</v>
      </c>
      <c r="Y386" s="475">
        <f>Z386+AA386+AB386+AC386</f>
        <v>0</v>
      </c>
      <c r="Z386" s="472">
        <f t="shared" ref="Z386:AC389" si="287">Z155*1000</f>
        <v>0</v>
      </c>
      <c r="AA386" s="473">
        <f t="shared" si="287"/>
        <v>0</v>
      </c>
      <c r="AB386" s="473">
        <f t="shared" si="287"/>
        <v>0</v>
      </c>
      <c r="AC386" s="474">
        <f t="shared" si="287"/>
        <v>0</v>
      </c>
    </row>
    <row r="387" spans="1:29" ht="22" hidden="1" customHeight="1" x14ac:dyDescent="0.2">
      <c r="A387" s="1313"/>
      <c r="B387" s="1276"/>
      <c r="C387" s="1276"/>
      <c r="D387" s="1276"/>
      <c r="E387" s="1276"/>
      <c r="F387" s="1357"/>
      <c r="G387" s="1358"/>
      <c r="H387" s="1359"/>
      <c r="I387" s="766" t="s">
        <v>73</v>
      </c>
      <c r="J387" s="767">
        <f t="shared" si="285"/>
        <v>0</v>
      </c>
      <c r="K387" s="768">
        <f t="shared" si="285"/>
        <v>0</v>
      </c>
      <c r="L387" s="769">
        <f t="shared" si="285"/>
        <v>0</v>
      </c>
      <c r="M387" s="769">
        <f t="shared" si="285"/>
        <v>0</v>
      </c>
      <c r="N387" s="770">
        <f t="shared" si="285"/>
        <v>0</v>
      </c>
      <c r="O387" s="771">
        <f>P387+Q387+R387+S387</f>
        <v>0</v>
      </c>
      <c r="P387" s="768"/>
      <c r="Q387" s="769"/>
      <c r="R387" s="769"/>
      <c r="S387" s="772"/>
      <c r="T387" s="773">
        <f>U387+V387+W387+X387</f>
        <v>0</v>
      </c>
      <c r="U387" s="774">
        <f t="shared" si="286"/>
        <v>0</v>
      </c>
      <c r="V387" s="775">
        <f t="shared" si="286"/>
        <v>0</v>
      </c>
      <c r="W387" s="775">
        <f t="shared" si="286"/>
        <v>0</v>
      </c>
      <c r="X387" s="776">
        <f t="shared" si="286"/>
        <v>0</v>
      </c>
      <c r="Y387" s="771">
        <f>Z387+AA387+AB387+AC387</f>
        <v>0</v>
      </c>
      <c r="Z387" s="768">
        <f t="shared" si="287"/>
        <v>0</v>
      </c>
      <c r="AA387" s="769">
        <f t="shared" si="287"/>
        <v>0</v>
      </c>
      <c r="AB387" s="769">
        <f t="shared" si="287"/>
        <v>0</v>
      </c>
      <c r="AC387" s="770">
        <f t="shared" si="287"/>
        <v>0</v>
      </c>
    </row>
    <row r="388" spans="1:29" ht="21" customHeight="1" x14ac:dyDescent="0.2">
      <c r="A388" s="1349"/>
      <c r="B388" s="1351"/>
      <c r="C388" s="1351"/>
      <c r="D388" s="1351"/>
      <c r="E388" s="1351"/>
      <c r="F388" s="1314">
        <v>67</v>
      </c>
      <c r="G388" s="1339" t="s">
        <v>214</v>
      </c>
      <c r="H388" s="1341" t="s">
        <v>215</v>
      </c>
      <c r="I388" s="485" t="s">
        <v>72</v>
      </c>
      <c r="J388" s="471">
        <f t="shared" si="285"/>
        <v>439439000</v>
      </c>
      <c r="K388" s="472">
        <f t="shared" si="285"/>
        <v>439439000</v>
      </c>
      <c r="L388" s="473">
        <f t="shared" si="285"/>
        <v>0</v>
      </c>
      <c r="M388" s="473">
        <f t="shared" si="285"/>
        <v>0</v>
      </c>
      <c r="N388" s="474">
        <f t="shared" si="285"/>
        <v>0</v>
      </c>
      <c r="O388" s="475">
        <f>P388+Q388+R388+S388</f>
        <v>0</v>
      </c>
      <c r="P388" s="472"/>
      <c r="Q388" s="473"/>
      <c r="R388" s="473"/>
      <c r="S388" s="476"/>
      <c r="T388" s="477">
        <f>U388+V388+W388+X388</f>
        <v>439439000</v>
      </c>
      <c r="U388" s="486">
        <f t="shared" si="286"/>
        <v>439439000</v>
      </c>
      <c r="V388" s="479">
        <f t="shared" si="286"/>
        <v>0</v>
      </c>
      <c r="W388" s="479">
        <f t="shared" si="286"/>
        <v>0</v>
      </c>
      <c r="X388" s="480">
        <f t="shared" si="286"/>
        <v>0</v>
      </c>
      <c r="Y388" s="475">
        <f>Z388+AA388+AB388+AC388</f>
        <v>0</v>
      </c>
      <c r="Z388" s="472">
        <f t="shared" si="287"/>
        <v>0</v>
      </c>
      <c r="AA388" s="473">
        <f t="shared" si="287"/>
        <v>0</v>
      </c>
      <c r="AB388" s="473">
        <f t="shared" si="287"/>
        <v>0</v>
      </c>
      <c r="AC388" s="474">
        <f t="shared" si="287"/>
        <v>0</v>
      </c>
    </row>
    <row r="389" spans="1:29" ht="21" customHeight="1" thickBot="1" x14ac:dyDescent="0.25">
      <c r="A389" s="1350"/>
      <c r="B389" s="1352"/>
      <c r="C389" s="1352"/>
      <c r="D389" s="1352"/>
      <c r="E389" s="1352"/>
      <c r="F389" s="1337"/>
      <c r="G389" s="1340"/>
      <c r="H389" s="1342"/>
      <c r="I389" s="780" t="s">
        <v>73</v>
      </c>
      <c r="J389" s="767">
        <f t="shared" si="285"/>
        <v>351846000</v>
      </c>
      <c r="K389" s="768">
        <f t="shared" si="285"/>
        <v>116500000</v>
      </c>
      <c r="L389" s="769">
        <f t="shared" si="285"/>
        <v>81500000</v>
      </c>
      <c r="M389" s="769">
        <f t="shared" si="285"/>
        <v>64500000</v>
      </c>
      <c r="N389" s="770">
        <f t="shared" si="285"/>
        <v>89346000</v>
      </c>
      <c r="O389" s="771">
        <f>P389+Q389+R389+S389</f>
        <v>0</v>
      </c>
      <c r="P389" s="768"/>
      <c r="Q389" s="769"/>
      <c r="R389" s="769"/>
      <c r="S389" s="772"/>
      <c r="T389" s="773">
        <f>U389+V389+W389+X389</f>
        <v>351846000</v>
      </c>
      <c r="U389" s="774">
        <f t="shared" si="286"/>
        <v>116500000</v>
      </c>
      <c r="V389" s="775">
        <f t="shared" si="286"/>
        <v>81500000</v>
      </c>
      <c r="W389" s="775">
        <f t="shared" si="286"/>
        <v>64500000</v>
      </c>
      <c r="X389" s="776">
        <f t="shared" si="286"/>
        <v>89346000</v>
      </c>
      <c r="Y389" s="771">
        <f>Z389+AA389+AB389+AC389</f>
        <v>0</v>
      </c>
      <c r="Z389" s="768">
        <f t="shared" si="287"/>
        <v>0</v>
      </c>
      <c r="AA389" s="769">
        <f t="shared" si="287"/>
        <v>0</v>
      </c>
      <c r="AB389" s="769">
        <f t="shared" si="287"/>
        <v>0</v>
      </c>
      <c r="AC389" s="770">
        <f t="shared" si="287"/>
        <v>0</v>
      </c>
    </row>
    <row r="390" spans="1:29" ht="19.5" customHeight="1" x14ac:dyDescent="0.2">
      <c r="A390" s="1343"/>
      <c r="B390" s="1345"/>
      <c r="C390" s="1345"/>
      <c r="D390" s="1347" t="s">
        <v>85</v>
      </c>
      <c r="E390" s="1345"/>
      <c r="F390" s="1345"/>
      <c r="G390" s="1289" t="s">
        <v>216</v>
      </c>
      <c r="H390" s="1348" t="s">
        <v>85</v>
      </c>
      <c r="I390" s="657" t="s">
        <v>72</v>
      </c>
      <c r="J390" s="437">
        <f>J392+J400</f>
        <v>1172746000</v>
      </c>
      <c r="K390" s="438">
        <f>K392+K400</f>
        <v>1172746000</v>
      </c>
      <c r="L390" s="439">
        <f t="shared" ref="L390:N391" si="288">L392+L400</f>
        <v>0</v>
      </c>
      <c r="M390" s="439">
        <f t="shared" si="288"/>
        <v>0</v>
      </c>
      <c r="N390" s="440">
        <f t="shared" si="288"/>
        <v>0</v>
      </c>
      <c r="O390" s="441">
        <f>O392+O400</f>
        <v>1172689000</v>
      </c>
      <c r="P390" s="442">
        <f>P392+P400</f>
        <v>1172689000</v>
      </c>
      <c r="Q390" s="443">
        <f t="shared" ref="Q390:S391" si="289">Q392+Q400</f>
        <v>0</v>
      </c>
      <c r="R390" s="443">
        <f t="shared" si="289"/>
        <v>0</v>
      </c>
      <c r="S390" s="444">
        <f t="shared" si="289"/>
        <v>0</v>
      </c>
      <c r="T390" s="445">
        <f>T392+T400</f>
        <v>0</v>
      </c>
      <c r="U390" s="446">
        <f>U392+U400</f>
        <v>0</v>
      </c>
      <c r="V390" s="447">
        <f t="shared" ref="V390:X391" si="290">V392+V400</f>
        <v>0</v>
      </c>
      <c r="W390" s="447">
        <f t="shared" si="290"/>
        <v>0</v>
      </c>
      <c r="X390" s="448">
        <f t="shared" si="290"/>
        <v>0</v>
      </c>
      <c r="Y390" s="449">
        <f>Y392+Y400</f>
        <v>57000</v>
      </c>
      <c r="Z390" s="450">
        <f>Z392+Z400</f>
        <v>57000</v>
      </c>
      <c r="AA390" s="451">
        <f t="shared" ref="AA390:AC391" si="291">AA392+AA400</f>
        <v>0</v>
      </c>
      <c r="AB390" s="451">
        <f t="shared" si="291"/>
        <v>0</v>
      </c>
      <c r="AC390" s="452">
        <f t="shared" si="291"/>
        <v>0</v>
      </c>
    </row>
    <row r="391" spans="1:29" ht="19.5" customHeight="1" x14ac:dyDescent="0.2">
      <c r="A391" s="1344"/>
      <c r="B391" s="1346"/>
      <c r="C391" s="1346"/>
      <c r="D391" s="1293"/>
      <c r="E391" s="1346"/>
      <c r="F391" s="1346"/>
      <c r="G391" s="1280"/>
      <c r="H391" s="1295"/>
      <c r="I391" s="331" t="s">
        <v>73</v>
      </c>
      <c r="J391" s="494">
        <f>J393+J401</f>
        <v>61898000</v>
      </c>
      <c r="K391" s="348">
        <f>K393+K401</f>
        <v>18401000</v>
      </c>
      <c r="L391" s="349">
        <f t="shared" si="288"/>
        <v>15589000</v>
      </c>
      <c r="M391" s="349">
        <f t="shared" si="288"/>
        <v>19661000</v>
      </c>
      <c r="N391" s="350">
        <f t="shared" si="288"/>
        <v>8247000</v>
      </c>
      <c r="O391" s="495">
        <f>O393+O401</f>
        <v>61800000</v>
      </c>
      <c r="P391" s="496">
        <f>P393+P401</f>
        <v>18303000</v>
      </c>
      <c r="Q391" s="497">
        <f t="shared" si="289"/>
        <v>15589000</v>
      </c>
      <c r="R391" s="497">
        <f t="shared" si="289"/>
        <v>19661000</v>
      </c>
      <c r="S391" s="498">
        <f t="shared" si="289"/>
        <v>8247000</v>
      </c>
      <c r="T391" s="499">
        <f>T393+T401</f>
        <v>0</v>
      </c>
      <c r="U391" s="500">
        <f>U393+U401</f>
        <v>0</v>
      </c>
      <c r="V391" s="501">
        <f t="shared" si="290"/>
        <v>0</v>
      </c>
      <c r="W391" s="501">
        <f t="shared" si="290"/>
        <v>0</v>
      </c>
      <c r="X391" s="502">
        <f t="shared" si="290"/>
        <v>0</v>
      </c>
      <c r="Y391" s="503">
        <f>Y393+Y401</f>
        <v>98000</v>
      </c>
      <c r="Z391" s="504">
        <f>Z393+Z401</f>
        <v>98000</v>
      </c>
      <c r="AA391" s="505">
        <f t="shared" si="291"/>
        <v>0</v>
      </c>
      <c r="AB391" s="505">
        <f t="shared" si="291"/>
        <v>0</v>
      </c>
      <c r="AC391" s="506">
        <f t="shared" si="291"/>
        <v>0</v>
      </c>
    </row>
    <row r="392" spans="1:29" x14ac:dyDescent="0.2">
      <c r="A392" s="1273"/>
      <c r="B392" s="1322"/>
      <c r="C392" s="1322"/>
      <c r="D392" s="1322"/>
      <c r="E392" s="1292" t="s">
        <v>74</v>
      </c>
      <c r="F392" s="1322"/>
      <c r="G392" s="1279" t="s">
        <v>217</v>
      </c>
      <c r="H392" s="1294" t="s">
        <v>218</v>
      </c>
      <c r="I392" s="493" t="s">
        <v>72</v>
      </c>
      <c r="J392" s="508">
        <f>K392+L392+M392+N392</f>
        <v>1172689000</v>
      </c>
      <c r="K392" s="509">
        <f>K394+K396+K398</f>
        <v>1172689000</v>
      </c>
      <c r="L392" s="510">
        <f t="shared" ref="L392:N393" si="292">L394+L396+L398</f>
        <v>0</v>
      </c>
      <c r="M392" s="510">
        <f t="shared" si="292"/>
        <v>0</v>
      </c>
      <c r="N392" s="511">
        <f t="shared" si="292"/>
        <v>0</v>
      </c>
      <c r="O392" s="512">
        <f>P392+Q392+R392+S392</f>
        <v>1172689000</v>
      </c>
      <c r="P392" s="513">
        <f t="shared" ref="P392:R393" si="293">P394+P396+P398</f>
        <v>1172689000</v>
      </c>
      <c r="Q392" s="514">
        <f t="shared" si="293"/>
        <v>0</v>
      </c>
      <c r="R392" s="514">
        <f t="shared" si="293"/>
        <v>0</v>
      </c>
      <c r="S392" s="515">
        <f>S394+S396+S398</f>
        <v>0</v>
      </c>
      <c r="T392" s="516">
        <f>U392+V392+W392+X392</f>
        <v>0</v>
      </c>
      <c r="U392" s="517">
        <f t="shared" ref="U392:W393" si="294">U394+U396+U398</f>
        <v>0</v>
      </c>
      <c r="V392" s="518">
        <f t="shared" si="294"/>
        <v>0</v>
      </c>
      <c r="W392" s="518">
        <f t="shared" si="294"/>
        <v>0</v>
      </c>
      <c r="X392" s="519">
        <f>X394+X396+X398</f>
        <v>0</v>
      </c>
      <c r="Y392" s="520">
        <f>Z392+AA392+AB392+AC392</f>
        <v>0</v>
      </c>
      <c r="Z392" s="521">
        <f t="shared" ref="Z392:AB393" si="295">Z394+Z396+Z398</f>
        <v>0</v>
      </c>
      <c r="AA392" s="522">
        <f t="shared" si="295"/>
        <v>0</v>
      </c>
      <c r="AB392" s="522">
        <f t="shared" si="295"/>
        <v>0</v>
      </c>
      <c r="AC392" s="523">
        <f>AC394+AC396+AC398</f>
        <v>0</v>
      </c>
    </row>
    <row r="393" spans="1:29" x14ac:dyDescent="0.2">
      <c r="A393" s="1274"/>
      <c r="B393" s="1323"/>
      <c r="C393" s="1323"/>
      <c r="D393" s="1323"/>
      <c r="E393" s="1293"/>
      <c r="F393" s="1323"/>
      <c r="G393" s="1280"/>
      <c r="H393" s="1295"/>
      <c r="I393" s="331" t="s">
        <v>73</v>
      </c>
      <c r="J393" s="524">
        <f>K393+L393+M393+N393</f>
        <v>61800000</v>
      </c>
      <c r="K393" s="525">
        <f>K395+K397+K399</f>
        <v>18303000</v>
      </c>
      <c r="L393" s="526">
        <f t="shared" si="292"/>
        <v>15589000</v>
      </c>
      <c r="M393" s="526">
        <f t="shared" si="292"/>
        <v>19661000</v>
      </c>
      <c r="N393" s="527">
        <f t="shared" si="292"/>
        <v>8247000</v>
      </c>
      <c r="O393" s="528">
        <f>P393+Q393+R393+S393</f>
        <v>61800000</v>
      </c>
      <c r="P393" s="529">
        <f t="shared" si="293"/>
        <v>18303000</v>
      </c>
      <c r="Q393" s="530">
        <f t="shared" si="293"/>
        <v>15589000</v>
      </c>
      <c r="R393" s="530">
        <f t="shared" si="293"/>
        <v>19661000</v>
      </c>
      <c r="S393" s="531">
        <f>S395+S397+S399</f>
        <v>8247000</v>
      </c>
      <c r="T393" s="532">
        <f>U393+V393+W393+X393</f>
        <v>0</v>
      </c>
      <c r="U393" s="533">
        <f t="shared" si="294"/>
        <v>0</v>
      </c>
      <c r="V393" s="534">
        <f t="shared" si="294"/>
        <v>0</v>
      </c>
      <c r="W393" s="534">
        <f t="shared" si="294"/>
        <v>0</v>
      </c>
      <c r="X393" s="535">
        <f>X395+X397+X399</f>
        <v>0</v>
      </c>
      <c r="Y393" s="536">
        <f>Z393+AA393+AB393+AC393</f>
        <v>0</v>
      </c>
      <c r="Z393" s="537">
        <f t="shared" si="295"/>
        <v>0</v>
      </c>
      <c r="AA393" s="538">
        <f t="shared" si="295"/>
        <v>0</v>
      </c>
      <c r="AB393" s="538">
        <f t="shared" si="295"/>
        <v>0</v>
      </c>
      <c r="AC393" s="539">
        <f>AC395+AC397+AC399</f>
        <v>0</v>
      </c>
    </row>
    <row r="394" spans="1:29" ht="15" customHeight="1" x14ac:dyDescent="0.2">
      <c r="A394" s="1273"/>
      <c r="B394" s="1322"/>
      <c r="C394" s="1322"/>
      <c r="D394" s="1322"/>
      <c r="E394" s="1322"/>
      <c r="F394" s="1320" t="s">
        <v>74</v>
      </c>
      <c r="G394" s="1308" t="s">
        <v>219</v>
      </c>
      <c r="H394" s="1327" t="s">
        <v>220</v>
      </c>
      <c r="I394" s="541" t="s">
        <v>72</v>
      </c>
      <c r="J394" s="542">
        <f t="shared" ref="J394:N399" si="296">O394+T394+Y394</f>
        <v>175903000</v>
      </c>
      <c r="K394" s="543">
        <f t="shared" si="296"/>
        <v>175903000</v>
      </c>
      <c r="L394" s="544">
        <f t="shared" si="296"/>
        <v>0</v>
      </c>
      <c r="M394" s="544">
        <f t="shared" si="296"/>
        <v>0</v>
      </c>
      <c r="N394" s="545">
        <f t="shared" si="296"/>
        <v>0</v>
      </c>
      <c r="O394" s="546">
        <f t="shared" ref="O394:O399" si="297">P394+Q394+R394+S394</f>
        <v>175903000</v>
      </c>
      <c r="P394" s="472">
        <f t="shared" ref="P394:S397" si="298">P163*1000</f>
        <v>175903000</v>
      </c>
      <c r="Q394" s="473">
        <f t="shared" si="298"/>
        <v>0</v>
      </c>
      <c r="R394" s="473">
        <f t="shared" si="298"/>
        <v>0</v>
      </c>
      <c r="S394" s="476">
        <f t="shared" si="298"/>
        <v>0</v>
      </c>
      <c r="T394" s="542">
        <f t="shared" ref="T394:T399" si="299">U394+V394+W394+X394</f>
        <v>0</v>
      </c>
      <c r="U394" s="547">
        <f t="shared" ref="U394:X399" si="300">U163*1000</f>
        <v>0</v>
      </c>
      <c r="V394" s="544">
        <f t="shared" si="300"/>
        <v>0</v>
      </c>
      <c r="W394" s="544">
        <f t="shared" si="300"/>
        <v>0</v>
      </c>
      <c r="X394" s="545">
        <f t="shared" si="300"/>
        <v>0</v>
      </c>
      <c r="Y394" s="546">
        <f t="shared" ref="Y394:Y399" si="301">Z394+AA394+AB394+AC394</f>
        <v>0</v>
      </c>
      <c r="Z394" s="472">
        <f t="shared" ref="Z394:AC399" si="302">Z163*1000</f>
        <v>0</v>
      </c>
      <c r="AA394" s="473">
        <f t="shared" si="302"/>
        <v>0</v>
      </c>
      <c r="AB394" s="473">
        <f t="shared" si="302"/>
        <v>0</v>
      </c>
      <c r="AC394" s="474">
        <f t="shared" si="302"/>
        <v>0</v>
      </c>
    </row>
    <row r="395" spans="1:29" ht="15" customHeight="1" x14ac:dyDescent="0.2">
      <c r="A395" s="1274"/>
      <c r="B395" s="1323"/>
      <c r="C395" s="1323"/>
      <c r="D395" s="1323"/>
      <c r="E395" s="1323"/>
      <c r="F395" s="1321"/>
      <c r="G395" s="1309"/>
      <c r="H395" s="1336"/>
      <c r="I395" s="766" t="s">
        <v>73</v>
      </c>
      <c r="J395" s="767">
        <f t="shared" si="296"/>
        <v>9270000</v>
      </c>
      <c r="K395" s="768">
        <f t="shared" si="296"/>
        <v>2745000</v>
      </c>
      <c r="L395" s="769">
        <f t="shared" si="296"/>
        <v>2339000</v>
      </c>
      <c r="M395" s="769">
        <f t="shared" si="296"/>
        <v>2949000</v>
      </c>
      <c r="N395" s="770">
        <f t="shared" si="296"/>
        <v>1237000</v>
      </c>
      <c r="O395" s="771">
        <f t="shared" si="297"/>
        <v>9270000</v>
      </c>
      <c r="P395" s="768">
        <f t="shared" si="298"/>
        <v>2745000</v>
      </c>
      <c r="Q395" s="769">
        <f t="shared" si="298"/>
        <v>2339000</v>
      </c>
      <c r="R395" s="769">
        <f t="shared" si="298"/>
        <v>2949000</v>
      </c>
      <c r="S395" s="772">
        <f t="shared" si="298"/>
        <v>1237000</v>
      </c>
      <c r="T395" s="773">
        <f t="shared" si="299"/>
        <v>0</v>
      </c>
      <c r="U395" s="774">
        <f t="shared" si="300"/>
        <v>0</v>
      </c>
      <c r="V395" s="775">
        <f t="shared" si="300"/>
        <v>0</v>
      </c>
      <c r="W395" s="775">
        <f t="shared" si="300"/>
        <v>0</v>
      </c>
      <c r="X395" s="776">
        <f t="shared" si="300"/>
        <v>0</v>
      </c>
      <c r="Y395" s="771">
        <f t="shared" si="301"/>
        <v>0</v>
      </c>
      <c r="Z395" s="768">
        <f t="shared" si="302"/>
        <v>0</v>
      </c>
      <c r="AA395" s="769">
        <f t="shared" si="302"/>
        <v>0</v>
      </c>
      <c r="AB395" s="769">
        <f t="shared" si="302"/>
        <v>0</v>
      </c>
      <c r="AC395" s="770">
        <f t="shared" si="302"/>
        <v>0</v>
      </c>
    </row>
    <row r="396" spans="1:29" ht="15" customHeight="1" x14ac:dyDescent="0.2">
      <c r="A396" s="1273"/>
      <c r="B396" s="1322"/>
      <c r="C396" s="1322"/>
      <c r="D396" s="1322"/>
      <c r="E396" s="1322"/>
      <c r="F396" s="1320" t="s">
        <v>131</v>
      </c>
      <c r="G396" s="1308" t="s">
        <v>221</v>
      </c>
      <c r="H396" s="1327" t="s">
        <v>222</v>
      </c>
      <c r="I396" s="541" t="s">
        <v>72</v>
      </c>
      <c r="J396" s="542">
        <f t="shared" si="296"/>
        <v>996786000</v>
      </c>
      <c r="K396" s="543">
        <f t="shared" si="296"/>
        <v>996786000</v>
      </c>
      <c r="L396" s="544">
        <f t="shared" si="296"/>
        <v>0</v>
      </c>
      <c r="M396" s="544">
        <f t="shared" si="296"/>
        <v>0</v>
      </c>
      <c r="N396" s="545">
        <f t="shared" si="296"/>
        <v>0</v>
      </c>
      <c r="O396" s="546">
        <f t="shared" si="297"/>
        <v>996786000</v>
      </c>
      <c r="P396" s="472">
        <f t="shared" si="298"/>
        <v>996786000</v>
      </c>
      <c r="Q396" s="473">
        <f t="shared" si="298"/>
        <v>0</v>
      </c>
      <c r="R396" s="473">
        <f t="shared" si="298"/>
        <v>0</v>
      </c>
      <c r="S396" s="476">
        <f t="shared" si="298"/>
        <v>0</v>
      </c>
      <c r="T396" s="542">
        <f t="shared" si="299"/>
        <v>0</v>
      </c>
      <c r="U396" s="547">
        <f t="shared" si="300"/>
        <v>0</v>
      </c>
      <c r="V396" s="544">
        <f t="shared" si="300"/>
        <v>0</v>
      </c>
      <c r="W396" s="544">
        <f t="shared" si="300"/>
        <v>0</v>
      </c>
      <c r="X396" s="545">
        <f t="shared" si="300"/>
        <v>0</v>
      </c>
      <c r="Y396" s="546">
        <f t="shared" si="301"/>
        <v>0</v>
      </c>
      <c r="Z396" s="472">
        <f t="shared" si="302"/>
        <v>0</v>
      </c>
      <c r="AA396" s="473">
        <f t="shared" si="302"/>
        <v>0</v>
      </c>
      <c r="AB396" s="473">
        <f t="shared" si="302"/>
        <v>0</v>
      </c>
      <c r="AC396" s="474">
        <f t="shared" si="302"/>
        <v>0</v>
      </c>
    </row>
    <row r="397" spans="1:29" ht="15" customHeight="1" thickBot="1" x14ac:dyDescent="0.25">
      <c r="A397" s="1274"/>
      <c r="B397" s="1323"/>
      <c r="C397" s="1323"/>
      <c r="D397" s="1323"/>
      <c r="E397" s="1323"/>
      <c r="F397" s="1321"/>
      <c r="G397" s="1309"/>
      <c r="H397" s="1336"/>
      <c r="I397" s="766" t="s">
        <v>73</v>
      </c>
      <c r="J397" s="767">
        <f t="shared" si="296"/>
        <v>52530000</v>
      </c>
      <c r="K397" s="768">
        <f t="shared" si="296"/>
        <v>15558000</v>
      </c>
      <c r="L397" s="769">
        <f t="shared" si="296"/>
        <v>13250000</v>
      </c>
      <c r="M397" s="769">
        <f t="shared" si="296"/>
        <v>16712000</v>
      </c>
      <c r="N397" s="770">
        <f t="shared" si="296"/>
        <v>7010000</v>
      </c>
      <c r="O397" s="771">
        <f t="shared" si="297"/>
        <v>52530000</v>
      </c>
      <c r="P397" s="768">
        <f t="shared" si="298"/>
        <v>15558000</v>
      </c>
      <c r="Q397" s="769">
        <f t="shared" si="298"/>
        <v>13250000</v>
      </c>
      <c r="R397" s="769">
        <f t="shared" si="298"/>
        <v>16712000</v>
      </c>
      <c r="S397" s="772">
        <f t="shared" si="298"/>
        <v>7010000</v>
      </c>
      <c r="T397" s="773">
        <f t="shared" si="299"/>
        <v>0</v>
      </c>
      <c r="U397" s="774">
        <f t="shared" si="300"/>
        <v>0</v>
      </c>
      <c r="V397" s="775">
        <f t="shared" si="300"/>
        <v>0</v>
      </c>
      <c r="W397" s="775">
        <f t="shared" si="300"/>
        <v>0</v>
      </c>
      <c r="X397" s="776">
        <f t="shared" si="300"/>
        <v>0</v>
      </c>
      <c r="Y397" s="771">
        <f t="shared" si="301"/>
        <v>0</v>
      </c>
      <c r="Z397" s="768">
        <f t="shared" si="302"/>
        <v>0</v>
      </c>
      <c r="AA397" s="769">
        <f t="shared" si="302"/>
        <v>0</v>
      </c>
      <c r="AB397" s="769">
        <f t="shared" si="302"/>
        <v>0</v>
      </c>
      <c r="AC397" s="770">
        <f t="shared" si="302"/>
        <v>0</v>
      </c>
    </row>
    <row r="398" spans="1:29" ht="15" hidden="1" customHeight="1" thickBot="1" x14ac:dyDescent="0.25">
      <c r="A398" s="1273"/>
      <c r="B398" s="1322"/>
      <c r="C398" s="1322"/>
      <c r="D398" s="1322"/>
      <c r="E398" s="1322"/>
      <c r="F398" s="1320" t="s">
        <v>66</v>
      </c>
      <c r="G398" s="1308" t="s">
        <v>223</v>
      </c>
      <c r="H398" s="1327" t="s">
        <v>224</v>
      </c>
      <c r="I398" s="554" t="s">
        <v>72</v>
      </c>
      <c r="J398" s="555">
        <f t="shared" si="296"/>
        <v>0</v>
      </c>
      <c r="K398" s="556">
        <f t="shared" si="296"/>
        <v>0</v>
      </c>
      <c r="L398" s="557">
        <f t="shared" si="296"/>
        <v>0</v>
      </c>
      <c r="M398" s="557">
        <f t="shared" si="296"/>
        <v>0</v>
      </c>
      <c r="N398" s="558">
        <f t="shared" si="296"/>
        <v>0</v>
      </c>
      <c r="O398" s="559">
        <f t="shared" si="297"/>
        <v>0</v>
      </c>
      <c r="P398" s="560"/>
      <c r="Q398" s="557"/>
      <c r="R398" s="557"/>
      <c r="S398" s="561"/>
      <c r="T398" s="555">
        <f t="shared" si="299"/>
        <v>0</v>
      </c>
      <c r="U398" s="560">
        <f t="shared" si="300"/>
        <v>0</v>
      </c>
      <c r="V398" s="557">
        <f t="shared" si="300"/>
        <v>0</v>
      </c>
      <c r="W398" s="557">
        <f t="shared" si="300"/>
        <v>0</v>
      </c>
      <c r="X398" s="558">
        <f t="shared" si="300"/>
        <v>0</v>
      </c>
      <c r="Y398" s="559">
        <f t="shared" si="301"/>
        <v>0</v>
      </c>
      <c r="Z398" s="560">
        <f t="shared" si="302"/>
        <v>0</v>
      </c>
      <c r="AA398" s="557">
        <f t="shared" si="302"/>
        <v>0</v>
      </c>
      <c r="AB398" s="557">
        <f t="shared" si="302"/>
        <v>0</v>
      </c>
      <c r="AC398" s="558">
        <f t="shared" si="302"/>
        <v>0</v>
      </c>
    </row>
    <row r="399" spans="1:29" ht="15" hidden="1" customHeight="1" x14ac:dyDescent="0.2">
      <c r="A399" s="1274"/>
      <c r="B399" s="1323"/>
      <c r="C399" s="1323"/>
      <c r="D399" s="1323"/>
      <c r="E399" s="1323"/>
      <c r="F399" s="1321"/>
      <c r="G399" s="1309"/>
      <c r="H399" s="1336"/>
      <c r="I399" s="766" t="s">
        <v>73</v>
      </c>
      <c r="J399" s="767">
        <f t="shared" si="296"/>
        <v>0</v>
      </c>
      <c r="K399" s="768">
        <f t="shared" si="296"/>
        <v>0</v>
      </c>
      <c r="L399" s="769">
        <f t="shared" si="296"/>
        <v>0</v>
      </c>
      <c r="M399" s="769">
        <f t="shared" si="296"/>
        <v>0</v>
      </c>
      <c r="N399" s="770">
        <f t="shared" si="296"/>
        <v>0</v>
      </c>
      <c r="O399" s="771">
        <f t="shared" si="297"/>
        <v>0</v>
      </c>
      <c r="P399" s="768"/>
      <c r="Q399" s="769"/>
      <c r="R399" s="769"/>
      <c r="S399" s="772"/>
      <c r="T399" s="773">
        <f t="shared" si="299"/>
        <v>0</v>
      </c>
      <c r="U399" s="774">
        <f t="shared" si="300"/>
        <v>0</v>
      </c>
      <c r="V399" s="775">
        <f t="shared" si="300"/>
        <v>0</v>
      </c>
      <c r="W399" s="775">
        <f t="shared" si="300"/>
        <v>0</v>
      </c>
      <c r="X399" s="776">
        <f t="shared" si="300"/>
        <v>0</v>
      </c>
      <c r="Y399" s="771">
        <f t="shared" si="301"/>
        <v>0</v>
      </c>
      <c r="Z399" s="768">
        <f t="shared" si="302"/>
        <v>0</v>
      </c>
      <c r="AA399" s="769">
        <f t="shared" si="302"/>
        <v>0</v>
      </c>
      <c r="AB399" s="769">
        <f t="shared" si="302"/>
        <v>0</v>
      </c>
      <c r="AC399" s="770">
        <f t="shared" si="302"/>
        <v>0</v>
      </c>
    </row>
    <row r="400" spans="1:29" ht="15" hidden="1" customHeight="1" x14ac:dyDescent="0.2">
      <c r="A400" s="1364"/>
      <c r="B400" s="1322"/>
      <c r="C400" s="1322"/>
      <c r="D400" s="1322"/>
      <c r="E400" s="1292" t="s">
        <v>63</v>
      </c>
      <c r="F400" s="1324"/>
      <c r="G400" s="1279" t="s">
        <v>225</v>
      </c>
      <c r="H400" s="1294" t="s">
        <v>226</v>
      </c>
      <c r="I400" s="493" t="s">
        <v>72</v>
      </c>
      <c r="J400" s="563">
        <f>K400+L400+M400+N400</f>
        <v>57000</v>
      </c>
      <c r="K400" s="564">
        <f>K402+K404+K406</f>
        <v>57000</v>
      </c>
      <c r="L400" s="565">
        <f t="shared" ref="L400:N401" si="303">L402+L404+L406</f>
        <v>0</v>
      </c>
      <c r="M400" s="565">
        <f t="shared" si="303"/>
        <v>0</v>
      </c>
      <c r="N400" s="566">
        <f t="shared" si="303"/>
        <v>0</v>
      </c>
      <c r="O400" s="567">
        <f>P400+Q400+R400+S400</f>
        <v>0</v>
      </c>
      <c r="P400" s="568">
        <f>P402+P404+P406</f>
        <v>0</v>
      </c>
      <c r="Q400" s="569">
        <f t="shared" ref="Q400:S401" si="304">Q402+Q404+Q406</f>
        <v>0</v>
      </c>
      <c r="R400" s="569">
        <f t="shared" si="304"/>
        <v>0</v>
      </c>
      <c r="S400" s="570">
        <f t="shared" si="304"/>
        <v>0</v>
      </c>
      <c r="T400" s="571">
        <f>U400+V400+W400+X400</f>
        <v>0</v>
      </c>
      <c r="U400" s="572">
        <f>U402+U404+U406</f>
        <v>0</v>
      </c>
      <c r="V400" s="573">
        <f t="shared" ref="V400:X401" si="305">V402+V404+V406</f>
        <v>0</v>
      </c>
      <c r="W400" s="573">
        <f t="shared" si="305"/>
        <v>0</v>
      </c>
      <c r="X400" s="574">
        <f t="shared" si="305"/>
        <v>0</v>
      </c>
      <c r="Y400" s="575">
        <f>Z400+AA400+AB400+AC400</f>
        <v>57000</v>
      </c>
      <c r="Z400" s="576">
        <f>Z402+Z404+Z406</f>
        <v>57000</v>
      </c>
      <c r="AA400" s="577">
        <f t="shared" ref="AA400:AC401" si="306">AA402+AA404+AA406</f>
        <v>0</v>
      </c>
      <c r="AB400" s="577">
        <f t="shared" si="306"/>
        <v>0</v>
      </c>
      <c r="AC400" s="578">
        <f t="shared" si="306"/>
        <v>0</v>
      </c>
    </row>
    <row r="401" spans="1:29" ht="15" hidden="1" customHeight="1" x14ac:dyDescent="0.2">
      <c r="A401" s="1365"/>
      <c r="B401" s="1323"/>
      <c r="C401" s="1323"/>
      <c r="D401" s="1323"/>
      <c r="E401" s="1293"/>
      <c r="F401" s="1325"/>
      <c r="G401" s="1280"/>
      <c r="H401" s="1295"/>
      <c r="I401" s="331" t="s">
        <v>73</v>
      </c>
      <c r="J401" s="524">
        <f>K401+L401+M401+N401</f>
        <v>98000</v>
      </c>
      <c r="K401" s="525">
        <f>K403+K405+K407</f>
        <v>98000</v>
      </c>
      <c r="L401" s="526">
        <f t="shared" si="303"/>
        <v>0</v>
      </c>
      <c r="M401" s="526">
        <f t="shared" si="303"/>
        <v>0</v>
      </c>
      <c r="N401" s="527">
        <f t="shared" si="303"/>
        <v>0</v>
      </c>
      <c r="O401" s="528">
        <f>P401+Q401+R401+S401</f>
        <v>0</v>
      </c>
      <c r="P401" s="529">
        <f>P403+P405+P407</f>
        <v>0</v>
      </c>
      <c r="Q401" s="530">
        <f t="shared" si="304"/>
        <v>0</v>
      </c>
      <c r="R401" s="530">
        <f t="shared" si="304"/>
        <v>0</v>
      </c>
      <c r="S401" s="531">
        <f t="shared" si="304"/>
        <v>0</v>
      </c>
      <c r="T401" s="532">
        <f>U401+V401+W401+X401</f>
        <v>0</v>
      </c>
      <c r="U401" s="533">
        <f>U403+U405+U407</f>
        <v>0</v>
      </c>
      <c r="V401" s="534">
        <f t="shared" si="305"/>
        <v>0</v>
      </c>
      <c r="W401" s="534">
        <f t="shared" si="305"/>
        <v>0</v>
      </c>
      <c r="X401" s="535">
        <f t="shared" si="305"/>
        <v>0</v>
      </c>
      <c r="Y401" s="536">
        <f>Z401+AA401+AB401+AC401</f>
        <v>98000</v>
      </c>
      <c r="Z401" s="537">
        <f>Z403+Z405+Z407</f>
        <v>98000</v>
      </c>
      <c r="AA401" s="538">
        <f t="shared" si="306"/>
        <v>0</v>
      </c>
      <c r="AB401" s="538">
        <f t="shared" si="306"/>
        <v>0</v>
      </c>
      <c r="AC401" s="539">
        <f t="shared" si="306"/>
        <v>0</v>
      </c>
    </row>
    <row r="402" spans="1:29" ht="15.75" hidden="1" customHeight="1" x14ac:dyDescent="0.2">
      <c r="A402" s="1364"/>
      <c r="B402" s="1322"/>
      <c r="C402" s="1322"/>
      <c r="D402" s="1322"/>
      <c r="E402" s="1366"/>
      <c r="F402" s="1320" t="s">
        <v>74</v>
      </c>
      <c r="G402" s="1308" t="s">
        <v>219</v>
      </c>
      <c r="H402" s="1327" t="s">
        <v>227</v>
      </c>
      <c r="I402" s="470" t="s">
        <v>72</v>
      </c>
      <c r="J402" s="471">
        <f t="shared" ref="J402:N407" si="307">O402+T402+Y402</f>
        <v>0</v>
      </c>
      <c r="K402" s="472">
        <f t="shared" si="307"/>
        <v>0</v>
      </c>
      <c r="L402" s="473">
        <f t="shared" si="307"/>
        <v>0</v>
      </c>
      <c r="M402" s="473">
        <f t="shared" si="307"/>
        <v>0</v>
      </c>
      <c r="N402" s="474">
        <f t="shared" si="307"/>
        <v>0</v>
      </c>
      <c r="O402" s="546"/>
      <c r="P402" s="472"/>
      <c r="Q402" s="473"/>
      <c r="R402" s="473"/>
      <c r="S402" s="476"/>
      <c r="T402" s="471">
        <f t="shared" ref="T402:T431" si="308">U402+V402+W402+X402</f>
        <v>0</v>
      </c>
      <c r="U402" s="478">
        <f t="shared" ref="U402:X407" si="309">U171*1000</f>
        <v>0</v>
      </c>
      <c r="V402" s="479">
        <f t="shared" si="309"/>
        <v>0</v>
      </c>
      <c r="W402" s="479">
        <f t="shared" si="309"/>
        <v>0</v>
      </c>
      <c r="X402" s="480">
        <f t="shared" si="309"/>
        <v>0</v>
      </c>
      <c r="Y402" s="546">
        <f t="shared" ref="Y402:Y431" si="310">Z402+AA402+AB402+AC402</f>
        <v>0</v>
      </c>
      <c r="Z402" s="472">
        <f t="shared" ref="Z402:AC407" si="311">Z171*1000</f>
        <v>0</v>
      </c>
      <c r="AA402" s="473">
        <f t="shared" si="311"/>
        <v>0</v>
      </c>
      <c r="AB402" s="473">
        <f t="shared" si="311"/>
        <v>0</v>
      </c>
      <c r="AC402" s="474">
        <f t="shared" si="311"/>
        <v>0</v>
      </c>
    </row>
    <row r="403" spans="1:29" ht="15.75" hidden="1" customHeight="1" x14ac:dyDescent="0.2">
      <c r="A403" s="1365"/>
      <c r="B403" s="1323"/>
      <c r="C403" s="1323"/>
      <c r="D403" s="1323"/>
      <c r="E403" s="1367"/>
      <c r="F403" s="1321"/>
      <c r="G403" s="1309"/>
      <c r="H403" s="1336"/>
      <c r="I403" s="766" t="s">
        <v>73</v>
      </c>
      <c r="J403" s="767">
        <f t="shared" si="307"/>
        <v>0</v>
      </c>
      <c r="K403" s="768">
        <f t="shared" si="307"/>
        <v>0</v>
      </c>
      <c r="L403" s="769">
        <f t="shared" si="307"/>
        <v>0</v>
      </c>
      <c r="M403" s="769">
        <f t="shared" si="307"/>
        <v>0</v>
      </c>
      <c r="N403" s="770">
        <f t="shared" si="307"/>
        <v>0</v>
      </c>
      <c r="O403" s="771"/>
      <c r="P403" s="768"/>
      <c r="Q403" s="769"/>
      <c r="R403" s="769"/>
      <c r="S403" s="772"/>
      <c r="T403" s="773">
        <f t="shared" si="308"/>
        <v>0</v>
      </c>
      <c r="U403" s="774">
        <f t="shared" si="309"/>
        <v>0</v>
      </c>
      <c r="V403" s="775">
        <f t="shared" si="309"/>
        <v>0</v>
      </c>
      <c r="W403" s="775">
        <f t="shared" si="309"/>
        <v>0</v>
      </c>
      <c r="X403" s="776">
        <f t="shared" si="309"/>
        <v>0</v>
      </c>
      <c r="Y403" s="771">
        <f t="shared" si="310"/>
        <v>0</v>
      </c>
      <c r="Z403" s="768">
        <f t="shared" si="311"/>
        <v>0</v>
      </c>
      <c r="AA403" s="769">
        <f t="shared" si="311"/>
        <v>0</v>
      </c>
      <c r="AB403" s="769">
        <f t="shared" si="311"/>
        <v>0</v>
      </c>
      <c r="AC403" s="770">
        <f t="shared" si="311"/>
        <v>0</v>
      </c>
    </row>
    <row r="404" spans="1:29" ht="15.75" hidden="1" customHeight="1" x14ac:dyDescent="0.2">
      <c r="A404" s="1364"/>
      <c r="B404" s="1322"/>
      <c r="C404" s="1322"/>
      <c r="D404" s="1322"/>
      <c r="E404" s="1366"/>
      <c r="F404" s="1320" t="s">
        <v>131</v>
      </c>
      <c r="G404" s="1308" t="s">
        <v>221</v>
      </c>
      <c r="H404" s="1327" t="s">
        <v>228</v>
      </c>
      <c r="I404" s="579" t="s">
        <v>72</v>
      </c>
      <c r="J404" s="471">
        <f t="shared" si="307"/>
        <v>57000</v>
      </c>
      <c r="K404" s="481">
        <f t="shared" si="307"/>
        <v>57000</v>
      </c>
      <c r="L404" s="473">
        <f t="shared" si="307"/>
        <v>0</v>
      </c>
      <c r="M404" s="473">
        <f t="shared" si="307"/>
        <v>0</v>
      </c>
      <c r="N404" s="474">
        <f t="shared" si="307"/>
        <v>0</v>
      </c>
      <c r="O404" s="546">
        <f>P404+Q404+R404+S404</f>
        <v>0</v>
      </c>
      <c r="P404" s="472"/>
      <c r="Q404" s="473"/>
      <c r="R404" s="473"/>
      <c r="S404" s="476"/>
      <c r="T404" s="471">
        <f t="shared" si="308"/>
        <v>0</v>
      </c>
      <c r="U404" s="478">
        <f t="shared" si="309"/>
        <v>0</v>
      </c>
      <c r="V404" s="479">
        <f t="shared" si="309"/>
        <v>0</v>
      </c>
      <c r="W404" s="479">
        <f t="shared" si="309"/>
        <v>0</v>
      </c>
      <c r="X404" s="480">
        <f t="shared" si="309"/>
        <v>0</v>
      </c>
      <c r="Y404" s="546">
        <f t="shared" si="310"/>
        <v>57000</v>
      </c>
      <c r="Z404" s="472">
        <f t="shared" si="311"/>
        <v>57000</v>
      </c>
      <c r="AA404" s="473">
        <f t="shared" si="311"/>
        <v>0</v>
      </c>
      <c r="AB404" s="473">
        <f t="shared" si="311"/>
        <v>0</v>
      </c>
      <c r="AC404" s="474">
        <f t="shared" si="311"/>
        <v>0</v>
      </c>
    </row>
    <row r="405" spans="1:29" ht="15.75" hidden="1" customHeight="1" x14ac:dyDescent="0.2">
      <c r="A405" s="1365"/>
      <c r="B405" s="1323"/>
      <c r="C405" s="1323"/>
      <c r="D405" s="1323"/>
      <c r="E405" s="1367"/>
      <c r="F405" s="1321"/>
      <c r="G405" s="1309"/>
      <c r="H405" s="1336"/>
      <c r="I405" s="766" t="s">
        <v>73</v>
      </c>
      <c r="J405" s="767">
        <f t="shared" si="307"/>
        <v>98000</v>
      </c>
      <c r="K405" s="768">
        <f t="shared" si="307"/>
        <v>98000</v>
      </c>
      <c r="L405" s="769">
        <f t="shared" si="307"/>
        <v>0</v>
      </c>
      <c r="M405" s="769">
        <f t="shared" si="307"/>
        <v>0</v>
      </c>
      <c r="N405" s="770">
        <f t="shared" si="307"/>
        <v>0</v>
      </c>
      <c r="O405" s="771">
        <f>P405+Q405+R405+S405</f>
        <v>0</v>
      </c>
      <c r="P405" s="768"/>
      <c r="Q405" s="769"/>
      <c r="R405" s="769"/>
      <c r="S405" s="772"/>
      <c r="T405" s="773">
        <f t="shared" si="308"/>
        <v>0</v>
      </c>
      <c r="U405" s="774">
        <f t="shared" si="309"/>
        <v>0</v>
      </c>
      <c r="V405" s="775">
        <f t="shared" si="309"/>
        <v>0</v>
      </c>
      <c r="W405" s="775">
        <f t="shared" si="309"/>
        <v>0</v>
      </c>
      <c r="X405" s="776">
        <f t="shared" si="309"/>
        <v>0</v>
      </c>
      <c r="Y405" s="771">
        <f t="shared" si="310"/>
        <v>98000</v>
      </c>
      <c r="Z405" s="768">
        <f t="shared" si="311"/>
        <v>98000</v>
      </c>
      <c r="AA405" s="769">
        <f t="shared" si="311"/>
        <v>0</v>
      </c>
      <c r="AB405" s="769">
        <f t="shared" si="311"/>
        <v>0</v>
      </c>
      <c r="AC405" s="770">
        <f t="shared" si="311"/>
        <v>0</v>
      </c>
    </row>
    <row r="406" spans="1:29" ht="16" hidden="1" thickBot="1" x14ac:dyDescent="0.25">
      <c r="A406" s="1363"/>
      <c r="B406" s="1322"/>
      <c r="C406" s="1322"/>
      <c r="D406" s="1322"/>
      <c r="E406" s="1322"/>
      <c r="F406" s="1320" t="s">
        <v>66</v>
      </c>
      <c r="G406" s="1308" t="s">
        <v>223</v>
      </c>
      <c r="H406" s="1327" t="s">
        <v>229</v>
      </c>
      <c r="I406" s="470" t="s">
        <v>72</v>
      </c>
      <c r="J406" s="555">
        <f t="shared" si="307"/>
        <v>0</v>
      </c>
      <c r="K406" s="560">
        <f t="shared" si="307"/>
        <v>0</v>
      </c>
      <c r="L406" s="557">
        <f t="shared" si="307"/>
        <v>0</v>
      </c>
      <c r="M406" s="557">
        <f t="shared" si="307"/>
        <v>0</v>
      </c>
      <c r="N406" s="558">
        <f t="shared" si="307"/>
        <v>0</v>
      </c>
      <c r="O406" s="559"/>
      <c r="P406" s="560"/>
      <c r="Q406" s="557"/>
      <c r="R406" s="557"/>
      <c r="S406" s="561"/>
      <c r="T406" s="555">
        <f t="shared" si="308"/>
        <v>0</v>
      </c>
      <c r="U406" s="580">
        <f t="shared" si="309"/>
        <v>0</v>
      </c>
      <c r="V406" s="581">
        <f t="shared" si="309"/>
        <v>0</v>
      </c>
      <c r="W406" s="581">
        <f t="shared" si="309"/>
        <v>0</v>
      </c>
      <c r="X406" s="582">
        <f t="shared" si="309"/>
        <v>0</v>
      </c>
      <c r="Y406" s="559">
        <f t="shared" si="310"/>
        <v>0</v>
      </c>
      <c r="Z406" s="560">
        <f t="shared" si="311"/>
        <v>0</v>
      </c>
      <c r="AA406" s="557">
        <f t="shared" si="311"/>
        <v>0</v>
      </c>
      <c r="AB406" s="557">
        <f t="shared" si="311"/>
        <v>0</v>
      </c>
      <c r="AC406" s="558">
        <f t="shared" si="311"/>
        <v>0</v>
      </c>
    </row>
    <row r="407" spans="1:29" ht="16" hidden="1" thickBot="1" x14ac:dyDescent="0.25">
      <c r="A407" s="1266"/>
      <c r="B407" s="1268"/>
      <c r="C407" s="1268"/>
      <c r="D407" s="1268"/>
      <c r="E407" s="1268"/>
      <c r="F407" s="1333"/>
      <c r="G407" s="1326"/>
      <c r="H407" s="1328"/>
      <c r="I407" s="766" t="s">
        <v>73</v>
      </c>
      <c r="J407" s="767">
        <f t="shared" si="307"/>
        <v>0</v>
      </c>
      <c r="K407" s="768">
        <f t="shared" si="307"/>
        <v>0</v>
      </c>
      <c r="L407" s="769">
        <f t="shared" si="307"/>
        <v>0</v>
      </c>
      <c r="M407" s="769">
        <f t="shared" si="307"/>
        <v>0</v>
      </c>
      <c r="N407" s="770">
        <f t="shared" si="307"/>
        <v>0</v>
      </c>
      <c r="O407" s="771"/>
      <c r="P407" s="768"/>
      <c r="Q407" s="769"/>
      <c r="R407" s="769"/>
      <c r="S407" s="772"/>
      <c r="T407" s="773">
        <f t="shared" si="308"/>
        <v>0</v>
      </c>
      <c r="U407" s="774">
        <f t="shared" si="309"/>
        <v>0</v>
      </c>
      <c r="V407" s="775">
        <f t="shared" si="309"/>
        <v>0</v>
      </c>
      <c r="W407" s="775">
        <f t="shared" si="309"/>
        <v>0</v>
      </c>
      <c r="X407" s="776">
        <f t="shared" si="309"/>
        <v>0</v>
      </c>
      <c r="Y407" s="771">
        <f t="shared" si="310"/>
        <v>0</v>
      </c>
      <c r="Z407" s="768">
        <f t="shared" si="311"/>
        <v>0</v>
      </c>
      <c r="AA407" s="769">
        <f t="shared" si="311"/>
        <v>0</v>
      </c>
      <c r="AB407" s="769">
        <f t="shared" si="311"/>
        <v>0</v>
      </c>
      <c r="AC407" s="770">
        <f t="shared" si="311"/>
        <v>0</v>
      </c>
    </row>
    <row r="408" spans="1:29" x14ac:dyDescent="0.2">
      <c r="A408" s="1265"/>
      <c r="B408" s="1267"/>
      <c r="C408" s="1267"/>
      <c r="D408" s="1347" t="s">
        <v>88</v>
      </c>
      <c r="E408" s="1267"/>
      <c r="F408" s="1267"/>
      <c r="G408" s="1289" t="s">
        <v>89</v>
      </c>
      <c r="H408" s="1348" t="s">
        <v>88</v>
      </c>
      <c r="I408" s="436" t="s">
        <v>72</v>
      </c>
      <c r="J408" s="437">
        <f>K408+L408+M408+N408</f>
        <v>4300000</v>
      </c>
      <c r="K408" s="438">
        <f t="shared" ref="K408:M409" si="312">K410+K412+K414</f>
        <v>3800000</v>
      </c>
      <c r="L408" s="439">
        <f t="shared" si="312"/>
        <v>0</v>
      </c>
      <c r="M408" s="439">
        <f t="shared" si="312"/>
        <v>500000</v>
      </c>
      <c r="N408" s="440">
        <f>N410+N412+N414</f>
        <v>0</v>
      </c>
      <c r="O408" s="441">
        <f t="shared" ref="O408:O431" si="313">P408+Q408+R408+S408</f>
        <v>0</v>
      </c>
      <c r="P408" s="442">
        <f t="shared" ref="P408:R409" si="314">P410+P412+P414</f>
        <v>0</v>
      </c>
      <c r="Q408" s="443">
        <f t="shared" si="314"/>
        <v>0</v>
      </c>
      <c r="R408" s="443">
        <f t="shared" si="314"/>
        <v>0</v>
      </c>
      <c r="S408" s="444">
        <f>S410+S412+S414</f>
        <v>0</v>
      </c>
      <c r="T408" s="445">
        <f t="shared" si="308"/>
        <v>700000</v>
      </c>
      <c r="U408" s="446">
        <f t="shared" ref="U408:W409" si="315">U410+U412+U414</f>
        <v>700000</v>
      </c>
      <c r="V408" s="447">
        <f t="shared" si="315"/>
        <v>0</v>
      </c>
      <c r="W408" s="447">
        <f t="shared" si="315"/>
        <v>0</v>
      </c>
      <c r="X408" s="448">
        <f>X410+X412+X414</f>
        <v>0</v>
      </c>
      <c r="Y408" s="449">
        <f t="shared" si="310"/>
        <v>3600000</v>
      </c>
      <c r="Z408" s="450">
        <f t="shared" ref="Z408:AB409" si="316">Z410+Z412+Z414</f>
        <v>3100000</v>
      </c>
      <c r="AA408" s="451">
        <f t="shared" si="316"/>
        <v>0</v>
      </c>
      <c r="AB408" s="451">
        <f t="shared" si="316"/>
        <v>500000</v>
      </c>
      <c r="AC408" s="452">
        <f>AC410+AC412+AC414</f>
        <v>0</v>
      </c>
    </row>
    <row r="409" spans="1:29" x14ac:dyDescent="0.2">
      <c r="A409" s="1329"/>
      <c r="B409" s="1323"/>
      <c r="C409" s="1323"/>
      <c r="D409" s="1293"/>
      <c r="E409" s="1323"/>
      <c r="F409" s="1323"/>
      <c r="G409" s="1280"/>
      <c r="H409" s="1295"/>
      <c r="I409" s="331" t="s">
        <v>73</v>
      </c>
      <c r="J409" s="494">
        <f>K409+L409+M409+N409</f>
        <v>4300000</v>
      </c>
      <c r="K409" s="507">
        <f>K411+K413+K415</f>
        <v>1920000</v>
      </c>
      <c r="L409" s="349">
        <f t="shared" si="312"/>
        <v>640000</v>
      </c>
      <c r="M409" s="349">
        <f t="shared" si="312"/>
        <v>1130000</v>
      </c>
      <c r="N409" s="350">
        <f>N411+N413+N415</f>
        <v>610000</v>
      </c>
      <c r="O409" s="495">
        <f t="shared" si="313"/>
        <v>0</v>
      </c>
      <c r="P409" s="496">
        <f t="shared" si="314"/>
        <v>0</v>
      </c>
      <c r="Q409" s="497">
        <f t="shared" si="314"/>
        <v>0</v>
      </c>
      <c r="R409" s="497">
        <f t="shared" si="314"/>
        <v>0</v>
      </c>
      <c r="S409" s="498">
        <f>S411+S413+S415</f>
        <v>0</v>
      </c>
      <c r="T409" s="499">
        <f t="shared" si="308"/>
        <v>700000</v>
      </c>
      <c r="U409" s="583">
        <f t="shared" si="315"/>
        <v>700000</v>
      </c>
      <c r="V409" s="584">
        <f t="shared" si="315"/>
        <v>0</v>
      </c>
      <c r="W409" s="584">
        <f t="shared" si="315"/>
        <v>0</v>
      </c>
      <c r="X409" s="585">
        <f>X411+X413+X415</f>
        <v>0</v>
      </c>
      <c r="Y409" s="503">
        <f t="shared" si="310"/>
        <v>3600000</v>
      </c>
      <c r="Z409" s="504">
        <f t="shared" si="316"/>
        <v>1220000</v>
      </c>
      <c r="AA409" s="505">
        <f t="shared" si="316"/>
        <v>640000</v>
      </c>
      <c r="AB409" s="505">
        <f t="shared" si="316"/>
        <v>1130000</v>
      </c>
      <c r="AC409" s="506">
        <f>AC411+AC413+AC415</f>
        <v>610000</v>
      </c>
    </row>
    <row r="410" spans="1:29" x14ac:dyDescent="0.2">
      <c r="A410" s="1363"/>
      <c r="B410" s="1366"/>
      <c r="C410" s="1366"/>
      <c r="D410" s="1366"/>
      <c r="E410" s="1292" t="s">
        <v>230</v>
      </c>
      <c r="F410" s="1324"/>
      <c r="G410" s="1308" t="s">
        <v>231</v>
      </c>
      <c r="H410" s="1327" t="s">
        <v>232</v>
      </c>
      <c r="I410" s="586" t="s">
        <v>72</v>
      </c>
      <c r="J410" s="587">
        <f t="shared" ref="J410:N415" si="317">O410+T410+Y410</f>
        <v>1100000</v>
      </c>
      <c r="K410" s="588">
        <f t="shared" si="317"/>
        <v>600000</v>
      </c>
      <c r="L410" s="589">
        <f t="shared" si="317"/>
        <v>0</v>
      </c>
      <c r="M410" s="589">
        <f t="shared" si="317"/>
        <v>500000</v>
      </c>
      <c r="N410" s="590">
        <f t="shared" si="317"/>
        <v>0</v>
      </c>
      <c r="O410" s="591">
        <f t="shared" si="313"/>
        <v>0</v>
      </c>
      <c r="P410" s="588"/>
      <c r="Q410" s="589"/>
      <c r="R410" s="589"/>
      <c r="S410" s="592"/>
      <c r="T410" s="587">
        <f t="shared" si="308"/>
        <v>100000</v>
      </c>
      <c r="U410" s="593">
        <f t="shared" ref="U410:X415" si="318">U179*1000</f>
        <v>100000</v>
      </c>
      <c r="V410" s="594">
        <f t="shared" si="318"/>
        <v>0</v>
      </c>
      <c r="W410" s="594">
        <f t="shared" si="318"/>
        <v>0</v>
      </c>
      <c r="X410" s="595">
        <f t="shared" si="318"/>
        <v>0</v>
      </c>
      <c r="Y410" s="591">
        <f t="shared" si="310"/>
        <v>1000000</v>
      </c>
      <c r="Z410" s="588">
        <f t="shared" ref="Z410:AC415" si="319">Z179*1000</f>
        <v>500000</v>
      </c>
      <c r="AA410" s="589">
        <f t="shared" si="319"/>
        <v>0</v>
      </c>
      <c r="AB410" s="589">
        <f t="shared" si="319"/>
        <v>500000</v>
      </c>
      <c r="AC410" s="590">
        <f t="shared" si="319"/>
        <v>0</v>
      </c>
    </row>
    <row r="411" spans="1:29" x14ac:dyDescent="0.2">
      <c r="A411" s="1329"/>
      <c r="B411" s="1367"/>
      <c r="C411" s="1367"/>
      <c r="D411" s="1367"/>
      <c r="E411" s="1293"/>
      <c r="F411" s="1325"/>
      <c r="G411" s="1309"/>
      <c r="H411" s="1336"/>
      <c r="I411" s="766" t="s">
        <v>73</v>
      </c>
      <c r="J411" s="767">
        <f t="shared" si="317"/>
        <v>1100000</v>
      </c>
      <c r="K411" s="768">
        <f t="shared" si="317"/>
        <v>600000</v>
      </c>
      <c r="L411" s="769">
        <f t="shared" si="317"/>
        <v>0</v>
      </c>
      <c r="M411" s="769">
        <f t="shared" si="317"/>
        <v>500000</v>
      </c>
      <c r="N411" s="770">
        <f t="shared" si="317"/>
        <v>0</v>
      </c>
      <c r="O411" s="771">
        <f t="shared" si="313"/>
        <v>0</v>
      </c>
      <c r="P411" s="768"/>
      <c r="Q411" s="769"/>
      <c r="R411" s="769"/>
      <c r="S411" s="772"/>
      <c r="T411" s="773">
        <f t="shared" si="308"/>
        <v>100000</v>
      </c>
      <c r="U411" s="774">
        <f t="shared" si="318"/>
        <v>100000</v>
      </c>
      <c r="V411" s="775">
        <f t="shared" si="318"/>
        <v>0</v>
      </c>
      <c r="W411" s="775">
        <f t="shared" si="318"/>
        <v>0</v>
      </c>
      <c r="X411" s="776">
        <f t="shared" si="318"/>
        <v>0</v>
      </c>
      <c r="Y411" s="771">
        <f t="shared" si="310"/>
        <v>1000000</v>
      </c>
      <c r="Z411" s="768">
        <f t="shared" si="319"/>
        <v>500000</v>
      </c>
      <c r="AA411" s="769">
        <f t="shared" si="319"/>
        <v>0</v>
      </c>
      <c r="AB411" s="769">
        <f t="shared" si="319"/>
        <v>500000</v>
      </c>
      <c r="AC411" s="770">
        <f t="shared" si="319"/>
        <v>0</v>
      </c>
    </row>
    <row r="412" spans="1:29" ht="19.5" customHeight="1" x14ac:dyDescent="0.2">
      <c r="A412" s="1363"/>
      <c r="B412" s="1366"/>
      <c r="C412" s="1366"/>
      <c r="D412" s="1366"/>
      <c r="E412" s="1292" t="s">
        <v>233</v>
      </c>
      <c r="F412" s="1366"/>
      <c r="G412" s="1308" t="s">
        <v>234</v>
      </c>
      <c r="H412" s="1327" t="s">
        <v>235</v>
      </c>
      <c r="I412" s="596" t="s">
        <v>72</v>
      </c>
      <c r="J412" s="280">
        <f t="shared" si="317"/>
        <v>3200000</v>
      </c>
      <c r="K412" s="281">
        <f t="shared" si="317"/>
        <v>3200000</v>
      </c>
      <c r="L412" s="282">
        <f t="shared" si="317"/>
        <v>0</v>
      </c>
      <c r="M412" s="282">
        <f t="shared" si="317"/>
        <v>0</v>
      </c>
      <c r="N412" s="283">
        <f t="shared" si="317"/>
        <v>0</v>
      </c>
      <c r="O412" s="471">
        <f t="shared" si="313"/>
        <v>0</v>
      </c>
      <c r="P412" s="292"/>
      <c r="Q412" s="293"/>
      <c r="R412" s="293"/>
      <c r="S412" s="296"/>
      <c r="T412" s="471">
        <f t="shared" si="308"/>
        <v>600000</v>
      </c>
      <c r="U412" s="298">
        <f t="shared" si="318"/>
        <v>600000</v>
      </c>
      <c r="V412" s="299">
        <f t="shared" si="318"/>
        <v>0</v>
      </c>
      <c r="W412" s="299">
        <f t="shared" si="318"/>
        <v>0</v>
      </c>
      <c r="X412" s="431">
        <f t="shared" si="318"/>
        <v>0</v>
      </c>
      <c r="Y412" s="471">
        <f t="shared" si="310"/>
        <v>2600000</v>
      </c>
      <c r="Z412" s="292">
        <f t="shared" si="319"/>
        <v>2600000</v>
      </c>
      <c r="AA412" s="293">
        <f t="shared" si="319"/>
        <v>0</v>
      </c>
      <c r="AB412" s="293">
        <f t="shared" si="319"/>
        <v>0</v>
      </c>
      <c r="AC412" s="294">
        <f t="shared" si="319"/>
        <v>0</v>
      </c>
    </row>
    <row r="413" spans="1:29" ht="19.5" customHeight="1" thickBot="1" x14ac:dyDescent="0.25">
      <c r="A413" s="1371"/>
      <c r="B413" s="1372"/>
      <c r="C413" s="1372"/>
      <c r="D413" s="1372"/>
      <c r="E413" s="1373"/>
      <c r="F413" s="1372"/>
      <c r="G413" s="1368"/>
      <c r="H413" s="1369"/>
      <c r="I413" s="781" t="s">
        <v>73</v>
      </c>
      <c r="J413" s="782">
        <f t="shared" si="317"/>
        <v>3200000</v>
      </c>
      <c r="K413" s="783">
        <f t="shared" si="317"/>
        <v>1320000</v>
      </c>
      <c r="L413" s="784">
        <f t="shared" si="317"/>
        <v>640000</v>
      </c>
      <c r="M413" s="784">
        <f t="shared" si="317"/>
        <v>630000</v>
      </c>
      <c r="N413" s="785">
        <f t="shared" si="317"/>
        <v>610000</v>
      </c>
      <c r="O413" s="782">
        <f t="shared" si="313"/>
        <v>0</v>
      </c>
      <c r="P413" s="783"/>
      <c r="Q413" s="784"/>
      <c r="R413" s="784"/>
      <c r="S413" s="786"/>
      <c r="T413" s="782">
        <f t="shared" si="308"/>
        <v>600000</v>
      </c>
      <c r="U413" s="787">
        <f t="shared" si="318"/>
        <v>600000</v>
      </c>
      <c r="V413" s="788">
        <f t="shared" si="318"/>
        <v>0</v>
      </c>
      <c r="W413" s="788">
        <f t="shared" si="318"/>
        <v>0</v>
      </c>
      <c r="X413" s="789">
        <f t="shared" si="318"/>
        <v>0</v>
      </c>
      <c r="Y413" s="782">
        <f t="shared" si="310"/>
        <v>2600000</v>
      </c>
      <c r="Z413" s="783">
        <f t="shared" si="319"/>
        <v>720000</v>
      </c>
      <c r="AA413" s="784">
        <f t="shared" si="319"/>
        <v>640000</v>
      </c>
      <c r="AB413" s="784">
        <f t="shared" si="319"/>
        <v>630000</v>
      </c>
      <c r="AC413" s="785">
        <f t="shared" si="319"/>
        <v>610000</v>
      </c>
    </row>
    <row r="414" spans="1:29" ht="19.5" hidden="1" customHeight="1" thickBot="1" x14ac:dyDescent="0.25">
      <c r="A414" s="1363"/>
      <c r="B414" s="1366"/>
      <c r="C414" s="1366"/>
      <c r="D414" s="1366"/>
      <c r="E414" s="1292" t="s">
        <v>236</v>
      </c>
      <c r="F414" s="1366"/>
      <c r="G414" s="1308" t="s">
        <v>237</v>
      </c>
      <c r="H414" s="1327" t="s">
        <v>238</v>
      </c>
      <c r="I414" s="596" t="s">
        <v>72</v>
      </c>
      <c r="J414" s="280">
        <f t="shared" si="317"/>
        <v>0</v>
      </c>
      <c r="K414" s="281">
        <f t="shared" si="317"/>
        <v>0</v>
      </c>
      <c r="L414" s="282">
        <f t="shared" si="317"/>
        <v>0</v>
      </c>
      <c r="M414" s="282">
        <f t="shared" si="317"/>
        <v>0</v>
      </c>
      <c r="N414" s="283">
        <f t="shared" si="317"/>
        <v>0</v>
      </c>
      <c r="O414" s="471">
        <f t="shared" si="313"/>
        <v>0</v>
      </c>
      <c r="P414" s="292"/>
      <c r="Q414" s="293"/>
      <c r="R414" s="293"/>
      <c r="S414" s="296"/>
      <c r="T414" s="471">
        <f t="shared" si="308"/>
        <v>0</v>
      </c>
      <c r="U414" s="298">
        <f t="shared" si="318"/>
        <v>0</v>
      </c>
      <c r="V414" s="299">
        <f t="shared" si="318"/>
        <v>0</v>
      </c>
      <c r="W414" s="299">
        <f t="shared" si="318"/>
        <v>0</v>
      </c>
      <c r="X414" s="300">
        <f t="shared" si="318"/>
        <v>0</v>
      </c>
      <c r="Y414" s="471">
        <f t="shared" si="310"/>
        <v>0</v>
      </c>
      <c r="Z414" s="292">
        <f t="shared" si="319"/>
        <v>0</v>
      </c>
      <c r="AA414" s="293">
        <f t="shared" si="319"/>
        <v>0</v>
      </c>
      <c r="AB414" s="293">
        <f t="shared" si="319"/>
        <v>0</v>
      </c>
      <c r="AC414" s="294">
        <f t="shared" si="319"/>
        <v>0</v>
      </c>
    </row>
    <row r="415" spans="1:29" ht="19.5" hidden="1" customHeight="1" x14ac:dyDescent="0.2">
      <c r="A415" s="1266"/>
      <c r="B415" s="1288"/>
      <c r="C415" s="1288"/>
      <c r="D415" s="1288"/>
      <c r="E415" s="1370"/>
      <c r="F415" s="1288"/>
      <c r="G415" s="1326"/>
      <c r="H415" s="1328"/>
      <c r="I415" s="790" t="s">
        <v>73</v>
      </c>
      <c r="J415" s="791">
        <f t="shared" si="317"/>
        <v>0</v>
      </c>
      <c r="K415" s="792">
        <f t="shared" si="317"/>
        <v>0</v>
      </c>
      <c r="L415" s="619">
        <f t="shared" si="317"/>
        <v>0</v>
      </c>
      <c r="M415" s="619">
        <f t="shared" si="317"/>
        <v>0</v>
      </c>
      <c r="N415" s="620">
        <f t="shared" si="317"/>
        <v>0</v>
      </c>
      <c r="O415" s="791">
        <f t="shared" si="313"/>
        <v>0</v>
      </c>
      <c r="P415" s="792"/>
      <c r="Q415" s="619"/>
      <c r="R415" s="619"/>
      <c r="S415" s="793"/>
      <c r="T415" s="791">
        <f t="shared" si="308"/>
        <v>0</v>
      </c>
      <c r="U415" s="794">
        <f t="shared" si="318"/>
        <v>0</v>
      </c>
      <c r="V415" s="795">
        <f t="shared" si="318"/>
        <v>0</v>
      </c>
      <c r="W415" s="795">
        <f t="shared" si="318"/>
        <v>0</v>
      </c>
      <c r="X415" s="796">
        <f t="shared" si="318"/>
        <v>0</v>
      </c>
      <c r="Y415" s="791">
        <f t="shared" si="310"/>
        <v>0</v>
      </c>
      <c r="Z415" s="792">
        <f t="shared" si="319"/>
        <v>0</v>
      </c>
      <c r="AA415" s="619">
        <f t="shared" si="319"/>
        <v>0</v>
      </c>
      <c r="AB415" s="619">
        <f t="shared" si="319"/>
        <v>0</v>
      </c>
      <c r="AC415" s="620">
        <f t="shared" si="319"/>
        <v>0</v>
      </c>
    </row>
    <row r="416" spans="1:29" x14ac:dyDescent="0.2">
      <c r="A416" s="1265"/>
      <c r="B416" s="1267"/>
      <c r="C416" s="1267"/>
      <c r="D416" s="1284" t="s">
        <v>91</v>
      </c>
      <c r="E416" s="1287"/>
      <c r="F416" s="1287"/>
      <c r="G416" s="1374" t="s">
        <v>92</v>
      </c>
      <c r="H416" s="1331" t="s">
        <v>91</v>
      </c>
      <c r="I416" s="436" t="s">
        <v>72</v>
      </c>
      <c r="J416" s="437">
        <f t="shared" ref="J416:J421" si="320">K416+L416+M416+N416</f>
        <v>14959000</v>
      </c>
      <c r="K416" s="438">
        <f t="shared" ref="K416:N417" si="321">K418</f>
        <v>8380000</v>
      </c>
      <c r="L416" s="439">
        <f t="shared" si="321"/>
        <v>0</v>
      </c>
      <c r="M416" s="439">
        <f t="shared" si="321"/>
        <v>4969000</v>
      </c>
      <c r="N416" s="440">
        <f t="shared" si="321"/>
        <v>1610000</v>
      </c>
      <c r="O416" s="441">
        <f t="shared" si="313"/>
        <v>0</v>
      </c>
      <c r="P416" s="442">
        <f t="shared" ref="P416:S417" si="322">P418</f>
        <v>0</v>
      </c>
      <c r="Q416" s="443">
        <f t="shared" si="322"/>
        <v>0</v>
      </c>
      <c r="R416" s="443">
        <f t="shared" si="322"/>
        <v>0</v>
      </c>
      <c r="S416" s="444">
        <f t="shared" si="322"/>
        <v>0</v>
      </c>
      <c r="T416" s="445">
        <f t="shared" si="308"/>
        <v>1416000</v>
      </c>
      <c r="U416" s="446">
        <f t="shared" ref="U416:X417" si="323">U418</f>
        <v>1416000</v>
      </c>
      <c r="V416" s="447">
        <f t="shared" si="323"/>
        <v>0</v>
      </c>
      <c r="W416" s="447">
        <f t="shared" si="323"/>
        <v>0</v>
      </c>
      <c r="X416" s="448">
        <f t="shared" si="323"/>
        <v>0</v>
      </c>
      <c r="Y416" s="449">
        <f t="shared" si="310"/>
        <v>13543000</v>
      </c>
      <c r="Z416" s="450">
        <f t="shared" ref="Z416:AC417" si="324">Z418</f>
        <v>6964000</v>
      </c>
      <c r="AA416" s="451">
        <f t="shared" si="324"/>
        <v>0</v>
      </c>
      <c r="AB416" s="451">
        <f t="shared" si="324"/>
        <v>4969000</v>
      </c>
      <c r="AC416" s="452">
        <f t="shared" si="324"/>
        <v>1610000</v>
      </c>
    </row>
    <row r="417" spans="1:29" x14ac:dyDescent="0.2">
      <c r="A417" s="1329"/>
      <c r="B417" s="1323"/>
      <c r="C417" s="1323"/>
      <c r="D417" s="1278"/>
      <c r="E417" s="1367"/>
      <c r="F417" s="1367"/>
      <c r="G417" s="1319"/>
      <c r="H417" s="1317"/>
      <c r="I417" s="331" t="s">
        <v>73</v>
      </c>
      <c r="J417" s="332">
        <f t="shared" si="320"/>
        <v>19972000</v>
      </c>
      <c r="K417" s="333">
        <f t="shared" si="321"/>
        <v>6682000</v>
      </c>
      <c r="L417" s="334">
        <f t="shared" si="321"/>
        <v>4494000</v>
      </c>
      <c r="M417" s="334">
        <f t="shared" si="321"/>
        <v>7420000</v>
      </c>
      <c r="N417" s="335">
        <f t="shared" si="321"/>
        <v>1376000</v>
      </c>
      <c r="O417" s="336">
        <f t="shared" si="313"/>
        <v>0</v>
      </c>
      <c r="P417" s="337">
        <f t="shared" si="322"/>
        <v>0</v>
      </c>
      <c r="Q417" s="338">
        <f t="shared" si="322"/>
        <v>0</v>
      </c>
      <c r="R417" s="338">
        <f t="shared" si="322"/>
        <v>0</v>
      </c>
      <c r="S417" s="339">
        <f t="shared" si="322"/>
        <v>0</v>
      </c>
      <c r="T417" s="340">
        <f t="shared" si="308"/>
        <v>1416000</v>
      </c>
      <c r="U417" s="341">
        <f t="shared" si="323"/>
        <v>152000</v>
      </c>
      <c r="V417" s="342">
        <f t="shared" si="323"/>
        <v>1264000</v>
      </c>
      <c r="W417" s="342">
        <f t="shared" si="323"/>
        <v>0</v>
      </c>
      <c r="X417" s="432">
        <f t="shared" si="323"/>
        <v>0</v>
      </c>
      <c r="Y417" s="433">
        <f t="shared" si="310"/>
        <v>18556000</v>
      </c>
      <c r="Z417" s="345">
        <f t="shared" si="324"/>
        <v>6530000</v>
      </c>
      <c r="AA417" s="346">
        <f t="shared" si="324"/>
        <v>3230000</v>
      </c>
      <c r="AB417" s="346">
        <f t="shared" si="324"/>
        <v>7420000</v>
      </c>
      <c r="AC417" s="347">
        <f t="shared" si="324"/>
        <v>1376000</v>
      </c>
    </row>
    <row r="418" spans="1:29" x14ac:dyDescent="0.2">
      <c r="A418" s="1363"/>
      <c r="B418" s="1322"/>
      <c r="C418" s="1322"/>
      <c r="D418" s="1277" t="s">
        <v>94</v>
      </c>
      <c r="E418" s="1322"/>
      <c r="F418" s="1322"/>
      <c r="G418" s="1279" t="s">
        <v>95</v>
      </c>
      <c r="H418" s="1316" t="s">
        <v>94</v>
      </c>
      <c r="I418" s="493" t="s">
        <v>72</v>
      </c>
      <c r="J418" s="621">
        <f t="shared" si="320"/>
        <v>14959000</v>
      </c>
      <c r="K418" s="622">
        <f t="shared" ref="K418:N419" si="325">K420+K430</f>
        <v>8380000</v>
      </c>
      <c r="L418" s="623">
        <f t="shared" si="325"/>
        <v>0</v>
      </c>
      <c r="M418" s="623">
        <f t="shared" si="325"/>
        <v>4969000</v>
      </c>
      <c r="N418" s="624">
        <f t="shared" si="325"/>
        <v>1610000</v>
      </c>
      <c r="O418" s="625">
        <f t="shared" si="313"/>
        <v>0</v>
      </c>
      <c r="P418" s="626">
        <f t="shared" ref="P418:S419" si="326">P420+P430</f>
        <v>0</v>
      </c>
      <c r="Q418" s="627">
        <f t="shared" si="326"/>
        <v>0</v>
      </c>
      <c r="R418" s="627">
        <f t="shared" si="326"/>
        <v>0</v>
      </c>
      <c r="S418" s="628">
        <f t="shared" si="326"/>
        <v>0</v>
      </c>
      <c r="T418" s="629">
        <f t="shared" si="308"/>
        <v>1416000</v>
      </c>
      <c r="U418" s="630">
        <f t="shared" ref="U418:X419" si="327">U420+U430</f>
        <v>1416000</v>
      </c>
      <c r="V418" s="631">
        <f t="shared" si="327"/>
        <v>0</v>
      </c>
      <c r="W418" s="631">
        <f t="shared" si="327"/>
        <v>0</v>
      </c>
      <c r="X418" s="632">
        <f t="shared" si="327"/>
        <v>0</v>
      </c>
      <c r="Y418" s="633">
        <f t="shared" si="310"/>
        <v>13543000</v>
      </c>
      <c r="Z418" s="634">
        <f t="shared" ref="Z418:AC419" si="328">Z420+Z430</f>
        <v>6964000</v>
      </c>
      <c r="AA418" s="635">
        <f t="shared" si="328"/>
        <v>0</v>
      </c>
      <c r="AB418" s="635">
        <f t="shared" si="328"/>
        <v>4969000</v>
      </c>
      <c r="AC418" s="636">
        <f t="shared" si="328"/>
        <v>1610000</v>
      </c>
    </row>
    <row r="419" spans="1:29" x14ac:dyDescent="0.2">
      <c r="A419" s="1329"/>
      <c r="B419" s="1323"/>
      <c r="C419" s="1323"/>
      <c r="D419" s="1278"/>
      <c r="E419" s="1323"/>
      <c r="F419" s="1323"/>
      <c r="G419" s="1280"/>
      <c r="H419" s="1317"/>
      <c r="I419" s="331" t="s">
        <v>73</v>
      </c>
      <c r="J419" s="332">
        <f t="shared" si="320"/>
        <v>19972000</v>
      </c>
      <c r="K419" s="333">
        <f t="shared" si="325"/>
        <v>6682000</v>
      </c>
      <c r="L419" s="334">
        <f t="shared" si="325"/>
        <v>4494000</v>
      </c>
      <c r="M419" s="334">
        <f t="shared" si="325"/>
        <v>7420000</v>
      </c>
      <c r="N419" s="335">
        <f t="shared" si="325"/>
        <v>1376000</v>
      </c>
      <c r="O419" s="336">
        <f t="shared" si="313"/>
        <v>0</v>
      </c>
      <c r="P419" s="337">
        <f t="shared" si="326"/>
        <v>0</v>
      </c>
      <c r="Q419" s="338">
        <f t="shared" si="326"/>
        <v>0</v>
      </c>
      <c r="R419" s="338">
        <f t="shared" si="326"/>
        <v>0</v>
      </c>
      <c r="S419" s="339">
        <f t="shared" si="326"/>
        <v>0</v>
      </c>
      <c r="T419" s="340">
        <f t="shared" si="308"/>
        <v>1416000</v>
      </c>
      <c r="U419" s="341">
        <f t="shared" si="327"/>
        <v>152000</v>
      </c>
      <c r="V419" s="342">
        <f t="shared" si="327"/>
        <v>1264000</v>
      </c>
      <c r="W419" s="342">
        <f t="shared" si="327"/>
        <v>0</v>
      </c>
      <c r="X419" s="432">
        <f t="shared" si="327"/>
        <v>0</v>
      </c>
      <c r="Y419" s="433">
        <f t="shared" si="310"/>
        <v>18556000</v>
      </c>
      <c r="Z419" s="345">
        <f t="shared" si="328"/>
        <v>6530000</v>
      </c>
      <c r="AA419" s="346">
        <f t="shared" si="328"/>
        <v>3230000</v>
      </c>
      <c r="AB419" s="346">
        <f t="shared" si="328"/>
        <v>7420000</v>
      </c>
      <c r="AC419" s="347">
        <f t="shared" si="328"/>
        <v>1376000</v>
      </c>
    </row>
    <row r="420" spans="1:29" x14ac:dyDescent="0.2">
      <c r="A420" s="1363"/>
      <c r="B420" s="1322"/>
      <c r="C420" s="1322"/>
      <c r="D420" s="1322"/>
      <c r="E420" s="1277" t="s">
        <v>74</v>
      </c>
      <c r="F420" s="1322"/>
      <c r="G420" s="1318" t="s">
        <v>239</v>
      </c>
      <c r="H420" s="1316" t="s">
        <v>240</v>
      </c>
      <c r="I420" s="493" t="s">
        <v>72</v>
      </c>
      <c r="J420" s="621">
        <f t="shared" si="320"/>
        <v>12296000</v>
      </c>
      <c r="K420" s="622">
        <f t="shared" ref="K420:N421" si="329">K422+K424+K426+K428</f>
        <v>7112000</v>
      </c>
      <c r="L420" s="623">
        <f t="shared" si="329"/>
        <v>0</v>
      </c>
      <c r="M420" s="623">
        <f t="shared" si="329"/>
        <v>4934000</v>
      </c>
      <c r="N420" s="624">
        <f t="shared" si="329"/>
        <v>250000</v>
      </c>
      <c r="O420" s="625">
        <f t="shared" si="313"/>
        <v>0</v>
      </c>
      <c r="P420" s="626">
        <f t="shared" ref="P420:S421" si="330">P422+P424+P426+P428</f>
        <v>0</v>
      </c>
      <c r="Q420" s="627">
        <f t="shared" si="330"/>
        <v>0</v>
      </c>
      <c r="R420" s="627">
        <f t="shared" si="330"/>
        <v>0</v>
      </c>
      <c r="S420" s="628">
        <f t="shared" si="330"/>
        <v>0</v>
      </c>
      <c r="T420" s="629">
        <f t="shared" si="308"/>
        <v>1416000</v>
      </c>
      <c r="U420" s="630">
        <f t="shared" ref="U420:X421" si="331">U422+U424+U426+U428</f>
        <v>1416000</v>
      </c>
      <c r="V420" s="631">
        <f t="shared" si="331"/>
        <v>0</v>
      </c>
      <c r="W420" s="631">
        <f t="shared" si="331"/>
        <v>0</v>
      </c>
      <c r="X420" s="632">
        <f t="shared" si="331"/>
        <v>0</v>
      </c>
      <c r="Y420" s="633">
        <f t="shared" si="310"/>
        <v>10880000</v>
      </c>
      <c r="Z420" s="634">
        <f t="shared" ref="Z420:AC421" si="332">Z422+Z424+Z426+Z428</f>
        <v>5696000</v>
      </c>
      <c r="AA420" s="635">
        <f t="shared" si="332"/>
        <v>0</v>
      </c>
      <c r="AB420" s="635">
        <f t="shared" si="332"/>
        <v>4934000</v>
      </c>
      <c r="AC420" s="636">
        <f t="shared" si="332"/>
        <v>250000</v>
      </c>
    </row>
    <row r="421" spans="1:29" x14ac:dyDescent="0.2">
      <c r="A421" s="1329"/>
      <c r="B421" s="1323"/>
      <c r="C421" s="1323"/>
      <c r="D421" s="1323"/>
      <c r="E421" s="1278"/>
      <c r="F421" s="1323"/>
      <c r="G421" s="1319"/>
      <c r="H421" s="1317"/>
      <c r="I421" s="331" t="s">
        <v>73</v>
      </c>
      <c r="J421" s="332">
        <f t="shared" si="320"/>
        <v>19619000</v>
      </c>
      <c r="K421" s="333">
        <f t="shared" si="329"/>
        <v>6364000</v>
      </c>
      <c r="L421" s="334">
        <f t="shared" si="329"/>
        <v>4494000</v>
      </c>
      <c r="M421" s="334">
        <f t="shared" si="329"/>
        <v>7385000</v>
      </c>
      <c r="N421" s="335">
        <f t="shared" si="329"/>
        <v>1376000</v>
      </c>
      <c r="O421" s="336">
        <f t="shared" si="313"/>
        <v>0</v>
      </c>
      <c r="P421" s="337">
        <f t="shared" si="330"/>
        <v>0</v>
      </c>
      <c r="Q421" s="338">
        <f t="shared" si="330"/>
        <v>0</v>
      </c>
      <c r="R421" s="338">
        <f t="shared" si="330"/>
        <v>0</v>
      </c>
      <c r="S421" s="339">
        <f t="shared" si="330"/>
        <v>0</v>
      </c>
      <c r="T421" s="340">
        <f t="shared" si="308"/>
        <v>1416000</v>
      </c>
      <c r="U421" s="341">
        <f t="shared" si="331"/>
        <v>152000</v>
      </c>
      <c r="V421" s="342">
        <f t="shared" si="331"/>
        <v>1264000</v>
      </c>
      <c r="W421" s="342">
        <f t="shared" si="331"/>
        <v>0</v>
      </c>
      <c r="X421" s="432">
        <f t="shared" si="331"/>
        <v>0</v>
      </c>
      <c r="Y421" s="433">
        <f t="shared" si="310"/>
        <v>18203000</v>
      </c>
      <c r="Z421" s="345">
        <f t="shared" si="332"/>
        <v>6212000</v>
      </c>
      <c r="AA421" s="346">
        <f t="shared" si="332"/>
        <v>3230000</v>
      </c>
      <c r="AB421" s="346">
        <f t="shared" si="332"/>
        <v>7385000</v>
      </c>
      <c r="AC421" s="347">
        <f t="shared" si="332"/>
        <v>1376000</v>
      </c>
    </row>
    <row r="422" spans="1:29" x14ac:dyDescent="0.2">
      <c r="A422" s="1363"/>
      <c r="B422" s="1322"/>
      <c r="C422" s="1322"/>
      <c r="D422" s="1322"/>
      <c r="E422" s="1322"/>
      <c r="F422" s="1314" t="s">
        <v>74</v>
      </c>
      <c r="G422" s="1308" t="s">
        <v>241</v>
      </c>
      <c r="H422" s="1310" t="s">
        <v>242</v>
      </c>
      <c r="I422" s="579" t="s">
        <v>72</v>
      </c>
      <c r="J422" s="471">
        <f t="shared" ref="J422:N431" si="333">O422+T422+Y422</f>
        <v>2910000</v>
      </c>
      <c r="K422" s="472">
        <f t="shared" si="333"/>
        <v>2672000</v>
      </c>
      <c r="L422" s="473">
        <f t="shared" si="333"/>
        <v>0</v>
      </c>
      <c r="M422" s="473">
        <f t="shared" si="333"/>
        <v>164000</v>
      </c>
      <c r="N422" s="474">
        <f t="shared" si="333"/>
        <v>74000</v>
      </c>
      <c r="O422" s="546">
        <f t="shared" si="313"/>
        <v>0</v>
      </c>
      <c r="P422" s="472"/>
      <c r="Q422" s="473"/>
      <c r="R422" s="473"/>
      <c r="S422" s="476"/>
      <c r="T422" s="637">
        <f t="shared" si="308"/>
        <v>0</v>
      </c>
      <c r="U422" s="478">
        <f t="shared" ref="U422:X431" si="334">U191*1000</f>
        <v>0</v>
      </c>
      <c r="V422" s="479">
        <f t="shared" si="334"/>
        <v>0</v>
      </c>
      <c r="W422" s="479">
        <f t="shared" si="334"/>
        <v>0</v>
      </c>
      <c r="X422" s="480">
        <f t="shared" si="334"/>
        <v>0</v>
      </c>
      <c r="Y422" s="546">
        <f t="shared" si="310"/>
        <v>2910000</v>
      </c>
      <c r="Z422" s="472">
        <f t="shared" ref="Z422:AC431" si="335">Z191*1000</f>
        <v>2672000</v>
      </c>
      <c r="AA422" s="473">
        <f t="shared" si="335"/>
        <v>0</v>
      </c>
      <c r="AB422" s="473">
        <f t="shared" si="335"/>
        <v>164000</v>
      </c>
      <c r="AC422" s="474">
        <f t="shared" si="335"/>
        <v>74000</v>
      </c>
    </row>
    <row r="423" spans="1:29" x14ac:dyDescent="0.2">
      <c r="A423" s="1329"/>
      <c r="B423" s="1323"/>
      <c r="C423" s="1323"/>
      <c r="D423" s="1323"/>
      <c r="E423" s="1323"/>
      <c r="F423" s="1315"/>
      <c r="G423" s="1309"/>
      <c r="H423" s="1311"/>
      <c r="I423" s="766" t="s">
        <v>73</v>
      </c>
      <c r="J423" s="767">
        <f t="shared" si="333"/>
        <v>10233000</v>
      </c>
      <c r="K423" s="768">
        <f t="shared" si="333"/>
        <v>3918000</v>
      </c>
      <c r="L423" s="769">
        <f t="shared" si="333"/>
        <v>2500000</v>
      </c>
      <c r="M423" s="769">
        <f t="shared" si="333"/>
        <v>2615000</v>
      </c>
      <c r="N423" s="770">
        <f t="shared" si="333"/>
        <v>1200000</v>
      </c>
      <c r="O423" s="771">
        <f t="shared" si="313"/>
        <v>0</v>
      </c>
      <c r="P423" s="768"/>
      <c r="Q423" s="769"/>
      <c r="R423" s="769"/>
      <c r="S423" s="772"/>
      <c r="T423" s="773">
        <f t="shared" si="308"/>
        <v>0</v>
      </c>
      <c r="U423" s="774">
        <f t="shared" si="334"/>
        <v>0</v>
      </c>
      <c r="V423" s="775">
        <f t="shared" si="334"/>
        <v>0</v>
      </c>
      <c r="W423" s="775">
        <f t="shared" si="334"/>
        <v>0</v>
      </c>
      <c r="X423" s="776">
        <f t="shared" si="334"/>
        <v>0</v>
      </c>
      <c r="Y423" s="771">
        <f t="shared" si="310"/>
        <v>10233000</v>
      </c>
      <c r="Z423" s="768">
        <f t="shared" si="335"/>
        <v>3918000</v>
      </c>
      <c r="AA423" s="769">
        <f t="shared" si="335"/>
        <v>2500000</v>
      </c>
      <c r="AB423" s="769">
        <f t="shared" si="335"/>
        <v>2615000</v>
      </c>
      <c r="AC423" s="770">
        <f t="shared" si="335"/>
        <v>1200000</v>
      </c>
    </row>
    <row r="424" spans="1:29" x14ac:dyDescent="0.2">
      <c r="A424" s="1363"/>
      <c r="B424" s="1322"/>
      <c r="C424" s="1322"/>
      <c r="D424" s="1322"/>
      <c r="E424" s="1322"/>
      <c r="F424" s="1314" t="s">
        <v>131</v>
      </c>
      <c r="G424" s="1308" t="s">
        <v>243</v>
      </c>
      <c r="H424" s="1310" t="s">
        <v>244</v>
      </c>
      <c r="I424" s="579" t="s">
        <v>72</v>
      </c>
      <c r="J424" s="471">
        <f t="shared" si="333"/>
        <v>9277000</v>
      </c>
      <c r="K424" s="472">
        <f t="shared" si="333"/>
        <v>4331000</v>
      </c>
      <c r="L424" s="473">
        <f t="shared" si="333"/>
        <v>0</v>
      </c>
      <c r="M424" s="473">
        <f t="shared" si="333"/>
        <v>4770000</v>
      </c>
      <c r="N424" s="474">
        <f t="shared" si="333"/>
        <v>176000</v>
      </c>
      <c r="O424" s="546">
        <f t="shared" si="313"/>
        <v>0</v>
      </c>
      <c r="P424" s="472"/>
      <c r="Q424" s="473"/>
      <c r="R424" s="473"/>
      <c r="S424" s="476"/>
      <c r="T424" s="637">
        <f t="shared" si="308"/>
        <v>1416000</v>
      </c>
      <c r="U424" s="478">
        <f t="shared" si="334"/>
        <v>1416000</v>
      </c>
      <c r="V424" s="479">
        <f t="shared" si="334"/>
        <v>0</v>
      </c>
      <c r="W424" s="479">
        <f t="shared" si="334"/>
        <v>0</v>
      </c>
      <c r="X424" s="480">
        <f t="shared" si="334"/>
        <v>0</v>
      </c>
      <c r="Y424" s="546">
        <f t="shared" si="310"/>
        <v>7861000</v>
      </c>
      <c r="Z424" s="472">
        <f t="shared" si="335"/>
        <v>2915000</v>
      </c>
      <c r="AA424" s="473">
        <f t="shared" si="335"/>
        <v>0</v>
      </c>
      <c r="AB424" s="473">
        <f t="shared" si="335"/>
        <v>4770000</v>
      </c>
      <c r="AC424" s="474">
        <f t="shared" si="335"/>
        <v>176000</v>
      </c>
    </row>
    <row r="425" spans="1:29" x14ac:dyDescent="0.2">
      <c r="A425" s="1329"/>
      <c r="B425" s="1323"/>
      <c r="C425" s="1323"/>
      <c r="D425" s="1323"/>
      <c r="E425" s="1323"/>
      <c r="F425" s="1315"/>
      <c r="G425" s="1309"/>
      <c r="H425" s="1311"/>
      <c r="I425" s="766" t="s">
        <v>73</v>
      </c>
      <c r="J425" s="767">
        <f t="shared" si="333"/>
        <v>9277000</v>
      </c>
      <c r="K425" s="768">
        <f t="shared" si="333"/>
        <v>2437000</v>
      </c>
      <c r="L425" s="769">
        <f t="shared" si="333"/>
        <v>1894000</v>
      </c>
      <c r="M425" s="769">
        <f t="shared" si="333"/>
        <v>4770000</v>
      </c>
      <c r="N425" s="770">
        <f t="shared" si="333"/>
        <v>176000</v>
      </c>
      <c r="O425" s="771">
        <f t="shared" si="313"/>
        <v>0</v>
      </c>
      <c r="P425" s="768"/>
      <c r="Q425" s="769"/>
      <c r="R425" s="769"/>
      <c r="S425" s="772"/>
      <c r="T425" s="773">
        <f t="shared" si="308"/>
        <v>1416000</v>
      </c>
      <c r="U425" s="774">
        <f t="shared" si="334"/>
        <v>152000</v>
      </c>
      <c r="V425" s="775">
        <f t="shared" si="334"/>
        <v>1264000</v>
      </c>
      <c r="W425" s="775">
        <f t="shared" si="334"/>
        <v>0</v>
      </c>
      <c r="X425" s="776">
        <f t="shared" si="334"/>
        <v>0</v>
      </c>
      <c r="Y425" s="771">
        <f t="shared" si="310"/>
        <v>7861000</v>
      </c>
      <c r="Z425" s="768">
        <f t="shared" si="335"/>
        <v>2285000</v>
      </c>
      <c r="AA425" s="769">
        <f t="shared" si="335"/>
        <v>630000</v>
      </c>
      <c r="AB425" s="769">
        <f t="shared" si="335"/>
        <v>4770000</v>
      </c>
      <c r="AC425" s="770">
        <f t="shared" si="335"/>
        <v>176000</v>
      </c>
    </row>
    <row r="426" spans="1:29" x14ac:dyDescent="0.2">
      <c r="A426" s="1363"/>
      <c r="B426" s="1322"/>
      <c r="C426" s="1322"/>
      <c r="D426" s="1322"/>
      <c r="E426" s="1322"/>
      <c r="F426" s="1314" t="s">
        <v>66</v>
      </c>
      <c r="G426" s="1308" t="s">
        <v>245</v>
      </c>
      <c r="H426" s="1310" t="s">
        <v>246</v>
      </c>
      <c r="I426" s="579" t="s">
        <v>72</v>
      </c>
      <c r="J426" s="471">
        <f t="shared" si="333"/>
        <v>0</v>
      </c>
      <c r="K426" s="472">
        <f t="shared" si="333"/>
        <v>0</v>
      </c>
      <c r="L426" s="473">
        <f t="shared" si="333"/>
        <v>0</v>
      </c>
      <c r="M426" s="473">
        <f t="shared" si="333"/>
        <v>0</v>
      </c>
      <c r="N426" s="474">
        <f t="shared" si="333"/>
        <v>0</v>
      </c>
      <c r="O426" s="546">
        <f t="shared" si="313"/>
        <v>0</v>
      </c>
      <c r="P426" s="472"/>
      <c r="Q426" s="473"/>
      <c r="R426" s="473"/>
      <c r="S426" s="476"/>
      <c r="T426" s="637">
        <f t="shared" si="308"/>
        <v>0</v>
      </c>
      <c r="U426" s="478">
        <f t="shared" si="334"/>
        <v>0</v>
      </c>
      <c r="V426" s="479">
        <f t="shared" si="334"/>
        <v>0</v>
      </c>
      <c r="W426" s="479">
        <f t="shared" si="334"/>
        <v>0</v>
      </c>
      <c r="X426" s="480">
        <f t="shared" si="334"/>
        <v>0</v>
      </c>
      <c r="Y426" s="546">
        <f t="shared" si="310"/>
        <v>0</v>
      </c>
      <c r="Z426" s="472">
        <f t="shared" si="335"/>
        <v>0</v>
      </c>
      <c r="AA426" s="473">
        <f t="shared" si="335"/>
        <v>0</v>
      </c>
      <c r="AB426" s="473">
        <f t="shared" si="335"/>
        <v>0</v>
      </c>
      <c r="AC426" s="474">
        <f t="shared" si="335"/>
        <v>0</v>
      </c>
    </row>
    <row r="427" spans="1:29" x14ac:dyDescent="0.2">
      <c r="A427" s="1329"/>
      <c r="B427" s="1323"/>
      <c r="C427" s="1323"/>
      <c r="D427" s="1323"/>
      <c r="E427" s="1323"/>
      <c r="F427" s="1315"/>
      <c r="G427" s="1309"/>
      <c r="H427" s="1311"/>
      <c r="I427" s="766" t="s">
        <v>73</v>
      </c>
      <c r="J427" s="767">
        <f t="shared" si="333"/>
        <v>0</v>
      </c>
      <c r="K427" s="768">
        <f t="shared" si="333"/>
        <v>0</v>
      </c>
      <c r="L427" s="769">
        <f t="shared" si="333"/>
        <v>0</v>
      </c>
      <c r="M427" s="769">
        <f t="shared" si="333"/>
        <v>0</v>
      </c>
      <c r="N427" s="770">
        <f t="shared" si="333"/>
        <v>0</v>
      </c>
      <c r="O427" s="771">
        <f t="shared" si="313"/>
        <v>0</v>
      </c>
      <c r="P427" s="768"/>
      <c r="Q427" s="769"/>
      <c r="R427" s="769"/>
      <c r="S427" s="772"/>
      <c r="T427" s="773">
        <f t="shared" si="308"/>
        <v>0</v>
      </c>
      <c r="U427" s="774">
        <f t="shared" si="334"/>
        <v>0</v>
      </c>
      <c r="V427" s="775">
        <f t="shared" si="334"/>
        <v>0</v>
      </c>
      <c r="W427" s="775">
        <f t="shared" si="334"/>
        <v>0</v>
      </c>
      <c r="X427" s="776">
        <f t="shared" si="334"/>
        <v>0</v>
      </c>
      <c r="Y427" s="771">
        <f t="shared" si="310"/>
        <v>0</v>
      </c>
      <c r="Z427" s="768">
        <f t="shared" si="335"/>
        <v>0</v>
      </c>
      <c r="AA427" s="769">
        <f t="shared" si="335"/>
        <v>0</v>
      </c>
      <c r="AB427" s="769">
        <f t="shared" si="335"/>
        <v>0</v>
      </c>
      <c r="AC427" s="770">
        <f t="shared" si="335"/>
        <v>0</v>
      </c>
    </row>
    <row r="428" spans="1:29" x14ac:dyDescent="0.2">
      <c r="A428" s="1363"/>
      <c r="B428" s="1322"/>
      <c r="C428" s="1322"/>
      <c r="D428" s="1322"/>
      <c r="E428" s="1322"/>
      <c r="F428" s="1314" t="s">
        <v>128</v>
      </c>
      <c r="G428" s="1308" t="s">
        <v>247</v>
      </c>
      <c r="H428" s="1310" t="s">
        <v>248</v>
      </c>
      <c r="I428" s="638" t="s">
        <v>72</v>
      </c>
      <c r="J428" s="471">
        <f t="shared" si="333"/>
        <v>109000</v>
      </c>
      <c r="K428" s="472">
        <f t="shared" si="333"/>
        <v>109000</v>
      </c>
      <c r="L428" s="473">
        <f t="shared" si="333"/>
        <v>0</v>
      </c>
      <c r="M428" s="473">
        <f t="shared" si="333"/>
        <v>0</v>
      </c>
      <c r="N428" s="474">
        <f t="shared" si="333"/>
        <v>0</v>
      </c>
      <c r="O428" s="546">
        <f t="shared" si="313"/>
        <v>0</v>
      </c>
      <c r="P428" s="472"/>
      <c r="Q428" s="473"/>
      <c r="R428" s="473"/>
      <c r="S428" s="476"/>
      <c r="T428" s="637">
        <f t="shared" si="308"/>
        <v>0</v>
      </c>
      <c r="U428" s="478">
        <f t="shared" si="334"/>
        <v>0</v>
      </c>
      <c r="V428" s="479">
        <f t="shared" si="334"/>
        <v>0</v>
      </c>
      <c r="W428" s="479">
        <f t="shared" si="334"/>
        <v>0</v>
      </c>
      <c r="X428" s="480">
        <f t="shared" si="334"/>
        <v>0</v>
      </c>
      <c r="Y428" s="546">
        <f t="shared" si="310"/>
        <v>109000</v>
      </c>
      <c r="Z428" s="472">
        <f t="shared" si="335"/>
        <v>109000</v>
      </c>
      <c r="AA428" s="473">
        <f t="shared" si="335"/>
        <v>0</v>
      </c>
      <c r="AB428" s="473">
        <f t="shared" si="335"/>
        <v>0</v>
      </c>
      <c r="AC428" s="474">
        <f t="shared" si="335"/>
        <v>0</v>
      </c>
    </row>
    <row r="429" spans="1:29" x14ac:dyDescent="0.2">
      <c r="A429" s="1329"/>
      <c r="B429" s="1323"/>
      <c r="C429" s="1323"/>
      <c r="D429" s="1323"/>
      <c r="E429" s="1323"/>
      <c r="F429" s="1315"/>
      <c r="G429" s="1309"/>
      <c r="H429" s="1311"/>
      <c r="I429" s="766" t="s">
        <v>73</v>
      </c>
      <c r="J429" s="767">
        <f t="shared" si="333"/>
        <v>109000</v>
      </c>
      <c r="K429" s="768">
        <f t="shared" si="333"/>
        <v>9000</v>
      </c>
      <c r="L429" s="769">
        <f t="shared" si="333"/>
        <v>100000</v>
      </c>
      <c r="M429" s="769">
        <f t="shared" si="333"/>
        <v>0</v>
      </c>
      <c r="N429" s="770">
        <f t="shared" si="333"/>
        <v>0</v>
      </c>
      <c r="O429" s="771">
        <f t="shared" si="313"/>
        <v>0</v>
      </c>
      <c r="P429" s="768"/>
      <c r="Q429" s="769"/>
      <c r="R429" s="769"/>
      <c r="S429" s="772"/>
      <c r="T429" s="773">
        <f t="shared" si="308"/>
        <v>0</v>
      </c>
      <c r="U429" s="774">
        <f t="shared" si="334"/>
        <v>0</v>
      </c>
      <c r="V429" s="775">
        <f t="shared" si="334"/>
        <v>0</v>
      </c>
      <c r="W429" s="775">
        <f t="shared" si="334"/>
        <v>0</v>
      </c>
      <c r="X429" s="776">
        <f t="shared" si="334"/>
        <v>0</v>
      </c>
      <c r="Y429" s="771">
        <f t="shared" si="310"/>
        <v>109000</v>
      </c>
      <c r="Z429" s="768">
        <f t="shared" si="335"/>
        <v>9000</v>
      </c>
      <c r="AA429" s="769">
        <f t="shared" si="335"/>
        <v>100000</v>
      </c>
      <c r="AB429" s="769">
        <f t="shared" si="335"/>
        <v>0</v>
      </c>
      <c r="AC429" s="770">
        <f t="shared" si="335"/>
        <v>0</v>
      </c>
    </row>
    <row r="430" spans="1:29" x14ac:dyDescent="0.2">
      <c r="A430" s="1363"/>
      <c r="B430" s="1322"/>
      <c r="C430" s="1322"/>
      <c r="D430" s="1277" t="s">
        <v>94</v>
      </c>
      <c r="E430" s="1292" t="s">
        <v>66</v>
      </c>
      <c r="F430" s="1322"/>
      <c r="G430" s="1279" t="s">
        <v>249</v>
      </c>
      <c r="H430" s="1375">
        <v>71.03</v>
      </c>
      <c r="I430" s="493" t="s">
        <v>72</v>
      </c>
      <c r="J430" s="621">
        <f t="shared" si="333"/>
        <v>2663000</v>
      </c>
      <c r="K430" s="622">
        <f t="shared" si="333"/>
        <v>1268000</v>
      </c>
      <c r="L430" s="623">
        <f t="shared" si="333"/>
        <v>0</v>
      </c>
      <c r="M430" s="623">
        <f t="shared" si="333"/>
        <v>35000</v>
      </c>
      <c r="N430" s="624">
        <f t="shared" si="333"/>
        <v>1360000</v>
      </c>
      <c r="O430" s="625">
        <f t="shared" si="313"/>
        <v>0</v>
      </c>
      <c r="P430" s="626"/>
      <c r="Q430" s="627"/>
      <c r="R430" s="627"/>
      <c r="S430" s="628"/>
      <c r="T430" s="629">
        <f t="shared" si="308"/>
        <v>0</v>
      </c>
      <c r="U430" s="630">
        <f t="shared" si="334"/>
        <v>0</v>
      </c>
      <c r="V430" s="631">
        <f t="shared" si="334"/>
        <v>0</v>
      </c>
      <c r="W430" s="631">
        <f t="shared" si="334"/>
        <v>0</v>
      </c>
      <c r="X430" s="632">
        <f t="shared" si="334"/>
        <v>0</v>
      </c>
      <c r="Y430" s="633">
        <f t="shared" si="310"/>
        <v>2663000</v>
      </c>
      <c r="Z430" s="634">
        <f t="shared" si="335"/>
        <v>1268000</v>
      </c>
      <c r="AA430" s="635">
        <f t="shared" si="335"/>
        <v>0</v>
      </c>
      <c r="AB430" s="635">
        <f t="shared" si="335"/>
        <v>35000</v>
      </c>
      <c r="AC430" s="636">
        <f t="shared" si="335"/>
        <v>1360000</v>
      </c>
    </row>
    <row r="431" spans="1:29" ht="15" customHeight="1" thickBot="1" x14ac:dyDescent="0.25">
      <c r="A431" s="1266"/>
      <c r="B431" s="1268"/>
      <c r="C431" s="1268"/>
      <c r="D431" s="1304"/>
      <c r="E431" s="1370"/>
      <c r="F431" s="1268"/>
      <c r="G431" s="1290"/>
      <c r="H431" s="1376"/>
      <c r="I431" s="640" t="s">
        <v>73</v>
      </c>
      <c r="J431" s="641">
        <f t="shared" si="333"/>
        <v>353000</v>
      </c>
      <c r="K431" s="642">
        <f t="shared" si="333"/>
        <v>318000</v>
      </c>
      <c r="L431" s="643">
        <f t="shared" si="333"/>
        <v>0</v>
      </c>
      <c r="M431" s="643">
        <f t="shared" si="333"/>
        <v>35000</v>
      </c>
      <c r="N431" s="644">
        <f t="shared" si="333"/>
        <v>0</v>
      </c>
      <c r="O431" s="645">
        <f t="shared" si="313"/>
        <v>0</v>
      </c>
      <c r="P431" s="646"/>
      <c r="Q431" s="647"/>
      <c r="R431" s="647"/>
      <c r="S431" s="647"/>
      <c r="T431" s="648">
        <f t="shared" si="308"/>
        <v>0</v>
      </c>
      <c r="U431" s="649">
        <f t="shared" si="334"/>
        <v>0</v>
      </c>
      <c r="V431" s="650">
        <f t="shared" si="334"/>
        <v>0</v>
      </c>
      <c r="W431" s="650">
        <f t="shared" si="334"/>
        <v>0</v>
      </c>
      <c r="X431" s="651">
        <f t="shared" si="334"/>
        <v>0</v>
      </c>
      <c r="Y431" s="652">
        <f t="shared" si="310"/>
        <v>353000</v>
      </c>
      <c r="Z431" s="797">
        <f t="shared" si="335"/>
        <v>318000</v>
      </c>
      <c r="AA431" s="655">
        <f t="shared" si="335"/>
        <v>0</v>
      </c>
      <c r="AB431" s="655">
        <f t="shared" si="335"/>
        <v>35000</v>
      </c>
      <c r="AC431" s="656">
        <f t="shared" si="335"/>
        <v>0</v>
      </c>
    </row>
    <row r="432" spans="1:29" x14ac:dyDescent="0.2">
      <c r="A432" s="1265"/>
      <c r="B432" s="1284" t="s">
        <v>74</v>
      </c>
      <c r="C432" s="1383"/>
      <c r="D432" s="1383"/>
      <c r="E432" s="1383"/>
      <c r="F432" s="1383"/>
      <c r="G432" s="1289" t="s">
        <v>250</v>
      </c>
      <c r="H432" s="1271" t="s">
        <v>211</v>
      </c>
      <c r="I432" s="657" t="s">
        <v>72</v>
      </c>
      <c r="J432" s="508">
        <f>K432+L432+M432+N432</f>
        <v>2295620000</v>
      </c>
      <c r="K432" s="658">
        <f>K434</f>
        <v>2288541000</v>
      </c>
      <c r="L432" s="659">
        <f t="shared" ref="L432:N433" si="336">L434</f>
        <v>0</v>
      </c>
      <c r="M432" s="659">
        <f t="shared" si="336"/>
        <v>5469000</v>
      </c>
      <c r="N432" s="511">
        <f t="shared" si="336"/>
        <v>1610000</v>
      </c>
      <c r="O432" s="512">
        <f>P432+Q432+R432+S432</f>
        <v>1172689000</v>
      </c>
      <c r="P432" s="660">
        <f>P434</f>
        <v>1172689000</v>
      </c>
      <c r="Q432" s="515">
        <f t="shared" ref="Q432:S433" si="337">Q434</f>
        <v>0</v>
      </c>
      <c r="R432" s="515">
        <f t="shared" si="337"/>
        <v>0</v>
      </c>
      <c r="S432" s="515">
        <f t="shared" si="337"/>
        <v>0</v>
      </c>
      <c r="T432" s="661">
        <f>U432+V432+W432+X432</f>
        <v>694794000</v>
      </c>
      <c r="U432" s="662">
        <f>U434</f>
        <v>694794000</v>
      </c>
      <c r="V432" s="663">
        <f t="shared" ref="V432:X433" si="338">V434</f>
        <v>0</v>
      </c>
      <c r="W432" s="663">
        <f t="shared" si="338"/>
        <v>0</v>
      </c>
      <c r="X432" s="664">
        <f t="shared" si="338"/>
        <v>0</v>
      </c>
      <c r="Y432" s="520">
        <f>Z432+AA432+AB432+AC432</f>
        <v>428137000</v>
      </c>
      <c r="Z432" s="665">
        <f>Z434</f>
        <v>421058000</v>
      </c>
      <c r="AA432" s="666">
        <f t="shared" ref="AA432:AC433" si="339">AA434</f>
        <v>0</v>
      </c>
      <c r="AB432" s="666">
        <f t="shared" si="339"/>
        <v>5469000</v>
      </c>
      <c r="AC432" s="523">
        <f t="shared" si="339"/>
        <v>1610000</v>
      </c>
    </row>
    <row r="433" spans="1:29" x14ac:dyDescent="0.2">
      <c r="A433" s="1329"/>
      <c r="B433" s="1278"/>
      <c r="C433" s="1315"/>
      <c r="D433" s="1315"/>
      <c r="E433" s="1315"/>
      <c r="F433" s="1315"/>
      <c r="G433" s="1280"/>
      <c r="H433" s="1272"/>
      <c r="I433" s="331" t="s">
        <v>73</v>
      </c>
      <c r="J433" s="667">
        <f>K433+L433+M433+N433</f>
        <v>1048777000</v>
      </c>
      <c r="K433" s="668">
        <f>K435</f>
        <v>330242000</v>
      </c>
      <c r="L433" s="669">
        <f t="shared" si="336"/>
        <v>251100000</v>
      </c>
      <c r="M433" s="669">
        <f t="shared" si="336"/>
        <v>237253000</v>
      </c>
      <c r="N433" s="670">
        <f t="shared" si="336"/>
        <v>230182000</v>
      </c>
      <c r="O433" s="671">
        <f>P433+Q433+R433+S433</f>
        <v>61800000</v>
      </c>
      <c r="P433" s="672">
        <f>P435</f>
        <v>18303000</v>
      </c>
      <c r="Q433" s="673">
        <f t="shared" si="337"/>
        <v>15589000</v>
      </c>
      <c r="R433" s="673">
        <f t="shared" si="337"/>
        <v>19661000</v>
      </c>
      <c r="S433" s="674">
        <f t="shared" si="337"/>
        <v>8247000</v>
      </c>
      <c r="T433" s="675">
        <f>U433+V433+W433+X433</f>
        <v>553786000</v>
      </c>
      <c r="U433" s="676">
        <f>U435</f>
        <v>182598000</v>
      </c>
      <c r="V433" s="677">
        <f t="shared" si="338"/>
        <v>128840000</v>
      </c>
      <c r="W433" s="677">
        <f t="shared" si="338"/>
        <v>109902000</v>
      </c>
      <c r="X433" s="678">
        <f t="shared" si="338"/>
        <v>132446000</v>
      </c>
      <c r="Y433" s="679">
        <f>Z433+AA433+AB433+AC433</f>
        <v>433191000</v>
      </c>
      <c r="Z433" s="680">
        <f>Z435</f>
        <v>129341000</v>
      </c>
      <c r="AA433" s="681">
        <f t="shared" si="339"/>
        <v>106671000</v>
      </c>
      <c r="AB433" s="681">
        <f t="shared" si="339"/>
        <v>107690000</v>
      </c>
      <c r="AC433" s="682">
        <f t="shared" si="339"/>
        <v>89489000</v>
      </c>
    </row>
    <row r="434" spans="1:29" x14ac:dyDescent="0.2">
      <c r="A434" s="1363"/>
      <c r="B434" s="1275"/>
      <c r="C434" s="1277" t="s">
        <v>66</v>
      </c>
      <c r="D434" s="1322"/>
      <c r="E434" s="1322"/>
      <c r="F434" s="1322"/>
      <c r="G434" s="1334" t="s">
        <v>251</v>
      </c>
      <c r="H434" s="1310" t="s">
        <v>252</v>
      </c>
      <c r="I434" s="683" t="s">
        <v>72</v>
      </c>
      <c r="J434" s="684">
        <f>K434+L434+M434+N434</f>
        <v>2295620000</v>
      </c>
      <c r="K434" s="685">
        <f t="shared" ref="K434:N435" si="340">P434+U434+Z434</f>
        <v>2288541000</v>
      </c>
      <c r="L434" s="686">
        <f t="shared" si="340"/>
        <v>0</v>
      </c>
      <c r="M434" s="686">
        <f t="shared" si="340"/>
        <v>5469000</v>
      </c>
      <c r="N434" s="687">
        <f t="shared" si="340"/>
        <v>1610000</v>
      </c>
      <c r="O434" s="688">
        <f>P434+Q434+R434+S434</f>
        <v>1172689000</v>
      </c>
      <c r="P434" s="685">
        <f t="shared" ref="P434:S435" si="341">P276</f>
        <v>1172689000</v>
      </c>
      <c r="Q434" s="686">
        <f t="shared" si="341"/>
        <v>0</v>
      </c>
      <c r="R434" s="686">
        <f t="shared" si="341"/>
        <v>0</v>
      </c>
      <c r="S434" s="689">
        <f t="shared" si="341"/>
        <v>0</v>
      </c>
      <c r="T434" s="684">
        <f>U434+V434+W434+X434</f>
        <v>694794000</v>
      </c>
      <c r="U434" s="685">
        <f t="shared" ref="U434:X435" si="342">U276</f>
        <v>694794000</v>
      </c>
      <c r="V434" s="686">
        <f t="shared" si="342"/>
        <v>0</v>
      </c>
      <c r="W434" s="686">
        <f t="shared" si="342"/>
        <v>0</v>
      </c>
      <c r="X434" s="687">
        <f t="shared" si="342"/>
        <v>0</v>
      </c>
      <c r="Y434" s="688">
        <f>Z434+AA434+AB434+AC434</f>
        <v>428137000</v>
      </c>
      <c r="Z434" s="685">
        <f t="shared" ref="Z434:AC435" si="343">Z276</f>
        <v>421058000</v>
      </c>
      <c r="AA434" s="686">
        <f t="shared" si="343"/>
        <v>0</v>
      </c>
      <c r="AB434" s="686">
        <f t="shared" si="343"/>
        <v>5469000</v>
      </c>
      <c r="AC434" s="687">
        <f t="shared" si="343"/>
        <v>1610000</v>
      </c>
    </row>
    <row r="435" spans="1:29" ht="16" thickBot="1" x14ac:dyDescent="0.25">
      <c r="A435" s="1266"/>
      <c r="B435" s="1307"/>
      <c r="C435" s="1304"/>
      <c r="D435" s="1268"/>
      <c r="E435" s="1268"/>
      <c r="F435" s="1268"/>
      <c r="G435" s="1382"/>
      <c r="H435" s="1338"/>
      <c r="I435" s="690" t="s">
        <v>73</v>
      </c>
      <c r="J435" s="385">
        <f>K435+L435+M435+N435</f>
        <v>1048777000</v>
      </c>
      <c r="K435" s="386">
        <f t="shared" si="340"/>
        <v>330242000</v>
      </c>
      <c r="L435" s="387">
        <f t="shared" si="340"/>
        <v>251100000</v>
      </c>
      <c r="M435" s="387">
        <f t="shared" si="340"/>
        <v>237253000</v>
      </c>
      <c r="N435" s="388">
        <f t="shared" si="340"/>
        <v>230182000</v>
      </c>
      <c r="O435" s="389">
        <f>P435+Q435+R435+S435</f>
        <v>61800000</v>
      </c>
      <c r="P435" s="386">
        <f t="shared" si="341"/>
        <v>18303000</v>
      </c>
      <c r="Q435" s="387">
        <f t="shared" si="341"/>
        <v>15589000</v>
      </c>
      <c r="R435" s="387">
        <f t="shared" si="341"/>
        <v>19661000</v>
      </c>
      <c r="S435" s="390">
        <f t="shared" si="341"/>
        <v>8247000</v>
      </c>
      <c r="T435" s="385">
        <f>U435+V435+W435+X435</f>
        <v>553786000</v>
      </c>
      <c r="U435" s="386">
        <f t="shared" si="342"/>
        <v>182598000</v>
      </c>
      <c r="V435" s="387">
        <f t="shared" si="342"/>
        <v>128840000</v>
      </c>
      <c r="W435" s="387">
        <f t="shared" si="342"/>
        <v>109902000</v>
      </c>
      <c r="X435" s="388">
        <f t="shared" si="342"/>
        <v>132446000</v>
      </c>
      <c r="Y435" s="389">
        <f>Z435+AA435+AB435+AC435</f>
        <v>433191000</v>
      </c>
      <c r="Z435" s="386">
        <f t="shared" si="343"/>
        <v>129341000</v>
      </c>
      <c r="AA435" s="387">
        <f t="shared" si="343"/>
        <v>106671000</v>
      </c>
      <c r="AB435" s="387">
        <f t="shared" si="343"/>
        <v>107690000</v>
      </c>
      <c r="AC435" s="388">
        <f t="shared" si="343"/>
        <v>89489000</v>
      </c>
    </row>
    <row r="437" spans="1:29" ht="15" customHeight="1" x14ac:dyDescent="0.2">
      <c r="A437" s="1380"/>
      <c r="B437" s="1380"/>
      <c r="C437" s="1380"/>
      <c r="D437" s="1380"/>
      <c r="E437" s="1380"/>
      <c r="F437" s="1380"/>
      <c r="G437" s="1380"/>
      <c r="H437" s="1380"/>
      <c r="I437" s="1380"/>
      <c r="J437" s="1380"/>
      <c r="K437" s="747"/>
      <c r="L437" s="1385"/>
      <c r="M437" s="1385"/>
      <c r="N437" s="749"/>
      <c r="O437" s="747"/>
      <c r="P437" s="747"/>
      <c r="Q437" s="747"/>
      <c r="R437" s="1380"/>
      <c r="S437" s="1380"/>
      <c r="T437" s="750"/>
      <c r="U437" s="747"/>
      <c r="V437" s="752"/>
      <c r="W437" s="752"/>
      <c r="X437" s="1386"/>
      <c r="Y437" s="1386"/>
      <c r="Z437" s="1386"/>
      <c r="AA437" s="1386"/>
      <c r="AB437" s="1386"/>
      <c r="AC437" s="1386"/>
    </row>
    <row r="438" spans="1:29" x14ac:dyDescent="0.2">
      <c r="J438" s="747"/>
      <c r="K438" s="747"/>
      <c r="L438" s="747"/>
      <c r="N438" s="747"/>
      <c r="O438" s="747"/>
      <c r="P438" s="747"/>
      <c r="Q438" s="747"/>
      <c r="R438" s="747"/>
      <c r="U438" s="747"/>
      <c r="X438" s="747"/>
      <c r="Z438" s="747"/>
      <c r="AA438" s="747"/>
    </row>
    <row r="439" spans="1:29" x14ac:dyDescent="0.2">
      <c r="A439" s="1380"/>
      <c r="B439" s="1380"/>
      <c r="C439" s="1380"/>
      <c r="D439" s="1380"/>
      <c r="E439" s="1380"/>
      <c r="F439" s="1380"/>
      <c r="G439" s="1380"/>
      <c r="H439" s="1381"/>
      <c r="I439" s="1381"/>
      <c r="J439" s="1381"/>
      <c r="K439" s="747"/>
      <c r="L439" s="1384"/>
      <c r="M439" s="1384"/>
      <c r="N439" s="751"/>
      <c r="O439" s="747"/>
      <c r="P439" s="747"/>
      <c r="Q439" s="747"/>
      <c r="R439" s="1380"/>
      <c r="S439" s="1380"/>
      <c r="T439" s="750"/>
      <c r="U439" s="747"/>
      <c r="V439" s="752"/>
    </row>
    <row r="441" spans="1:29" ht="15" customHeight="1" x14ac:dyDescent="0.2"/>
  </sheetData>
  <sheetProtection selectLockedCells="1" selectUnlockedCells="1"/>
  <mergeCells count="1492">
    <mergeCell ref="A439:G439"/>
    <mergeCell ref="H439:J439"/>
    <mergeCell ref="L439:M439"/>
    <mergeCell ref="R439:S439"/>
    <mergeCell ref="H434:H435"/>
    <mergeCell ref="A437:G437"/>
    <mergeCell ref="H437:J437"/>
    <mergeCell ref="L437:M437"/>
    <mergeCell ref="R437:S437"/>
    <mergeCell ref="X437:AC437"/>
    <mergeCell ref="G432:G433"/>
    <mergeCell ref="H432:H433"/>
    <mergeCell ref="A434:A435"/>
    <mergeCell ref="B434:B435"/>
    <mergeCell ref="C434:C435"/>
    <mergeCell ref="D434:D435"/>
    <mergeCell ref="E434:E435"/>
    <mergeCell ref="F434:F435"/>
    <mergeCell ref="G434:G435"/>
    <mergeCell ref="A432:A433"/>
    <mergeCell ref="B432:B433"/>
    <mergeCell ref="C432:C433"/>
    <mergeCell ref="D432:D433"/>
    <mergeCell ref="E432:E433"/>
    <mergeCell ref="F432:F433"/>
    <mergeCell ref="G428:G429"/>
    <mergeCell ref="H428:H429"/>
    <mergeCell ref="A430:A431"/>
    <mergeCell ref="B430:B431"/>
    <mergeCell ref="C430:C431"/>
    <mergeCell ref="D430:D431"/>
    <mergeCell ref="E430:E431"/>
    <mergeCell ref="F430:F431"/>
    <mergeCell ref="G430:G431"/>
    <mergeCell ref="H430:H431"/>
    <mergeCell ref="A428:A429"/>
    <mergeCell ref="B428:B429"/>
    <mergeCell ref="C428:C429"/>
    <mergeCell ref="D428:D429"/>
    <mergeCell ref="E428:E429"/>
    <mergeCell ref="F428:F429"/>
    <mergeCell ref="G424:G425"/>
    <mergeCell ref="H424:H425"/>
    <mergeCell ref="A426:A427"/>
    <mergeCell ref="B426:B427"/>
    <mergeCell ref="C426:C427"/>
    <mergeCell ref="D426:D427"/>
    <mergeCell ref="E426:E427"/>
    <mergeCell ref="F426:F427"/>
    <mergeCell ref="G426:G427"/>
    <mergeCell ref="H426:H427"/>
    <mergeCell ref="A424:A425"/>
    <mergeCell ref="B424:B425"/>
    <mergeCell ref="C424:C425"/>
    <mergeCell ref="D424:D425"/>
    <mergeCell ref="E424:E425"/>
    <mergeCell ref="F424:F425"/>
    <mergeCell ref="G420:G421"/>
    <mergeCell ref="H420:H421"/>
    <mergeCell ref="A422:A423"/>
    <mergeCell ref="B422:B423"/>
    <mergeCell ref="C422:C423"/>
    <mergeCell ref="D422:D423"/>
    <mergeCell ref="E422:E423"/>
    <mergeCell ref="F422:F423"/>
    <mergeCell ref="G422:G423"/>
    <mergeCell ref="H422:H423"/>
    <mergeCell ref="A420:A421"/>
    <mergeCell ref="B420:B421"/>
    <mergeCell ref="C420:C421"/>
    <mergeCell ref="D420:D421"/>
    <mergeCell ref="E420:E421"/>
    <mergeCell ref="F420:F421"/>
    <mergeCell ref="G416:G417"/>
    <mergeCell ref="H416:H417"/>
    <mergeCell ref="A418:A419"/>
    <mergeCell ref="B418:B419"/>
    <mergeCell ref="C418:C419"/>
    <mergeCell ref="D418:D419"/>
    <mergeCell ref="E418:E419"/>
    <mergeCell ref="F418:F419"/>
    <mergeCell ref="G418:G419"/>
    <mergeCell ref="H418:H419"/>
    <mergeCell ref="A416:A417"/>
    <mergeCell ref="B416:B417"/>
    <mergeCell ref="C416:C417"/>
    <mergeCell ref="D416:D417"/>
    <mergeCell ref="E416:E417"/>
    <mergeCell ref="F416:F417"/>
    <mergeCell ref="G412:G413"/>
    <mergeCell ref="H412:H413"/>
    <mergeCell ref="A414:A415"/>
    <mergeCell ref="B414:B415"/>
    <mergeCell ref="C414:C415"/>
    <mergeCell ref="D414:D415"/>
    <mergeCell ref="E414:E415"/>
    <mergeCell ref="F414:F415"/>
    <mergeCell ref="G414:G415"/>
    <mergeCell ref="H414:H415"/>
    <mergeCell ref="A412:A413"/>
    <mergeCell ref="B412:B413"/>
    <mergeCell ref="C412:C413"/>
    <mergeCell ref="D412:D413"/>
    <mergeCell ref="E412:E413"/>
    <mergeCell ref="F412:F413"/>
    <mergeCell ref="G408:G409"/>
    <mergeCell ref="H408:H409"/>
    <mergeCell ref="A410:A411"/>
    <mergeCell ref="B410:B411"/>
    <mergeCell ref="C410:C411"/>
    <mergeCell ref="D410:D411"/>
    <mergeCell ref="E410:E411"/>
    <mergeCell ref="F410:F411"/>
    <mergeCell ref="G410:G411"/>
    <mergeCell ref="H410:H411"/>
    <mergeCell ref="A408:A409"/>
    <mergeCell ref="B408:B409"/>
    <mergeCell ref="C408:C409"/>
    <mergeCell ref="D408:D409"/>
    <mergeCell ref="E408:E409"/>
    <mergeCell ref="F408:F409"/>
    <mergeCell ref="G404:G405"/>
    <mergeCell ref="H404:H405"/>
    <mergeCell ref="A406:A407"/>
    <mergeCell ref="B406:B407"/>
    <mergeCell ref="C406:C407"/>
    <mergeCell ref="D406:D407"/>
    <mergeCell ref="E406:E407"/>
    <mergeCell ref="F406:F407"/>
    <mergeCell ref="G406:G407"/>
    <mergeCell ref="H406:H407"/>
    <mergeCell ref="A404:A405"/>
    <mergeCell ref="B404:B405"/>
    <mergeCell ref="C404:C405"/>
    <mergeCell ref="D404:D405"/>
    <mergeCell ref="E404:E405"/>
    <mergeCell ref="F404:F405"/>
    <mergeCell ref="G400:G401"/>
    <mergeCell ref="H400:H401"/>
    <mergeCell ref="A402:A403"/>
    <mergeCell ref="B402:B403"/>
    <mergeCell ref="C402:C403"/>
    <mergeCell ref="D402:D403"/>
    <mergeCell ref="E402:E403"/>
    <mergeCell ref="F402:F403"/>
    <mergeCell ref="G402:G403"/>
    <mergeCell ref="H402:H403"/>
    <mergeCell ref="A400:A401"/>
    <mergeCell ref="B400:B401"/>
    <mergeCell ref="C400:C401"/>
    <mergeCell ref="D400:D401"/>
    <mergeCell ref="E400:E401"/>
    <mergeCell ref="F400:F401"/>
    <mergeCell ref="G396:G397"/>
    <mergeCell ref="H396:H397"/>
    <mergeCell ref="A398:A399"/>
    <mergeCell ref="B398:B399"/>
    <mergeCell ref="C398:C399"/>
    <mergeCell ref="D398:D399"/>
    <mergeCell ref="E398:E399"/>
    <mergeCell ref="F398:F399"/>
    <mergeCell ref="G398:G399"/>
    <mergeCell ref="H398:H399"/>
    <mergeCell ref="A396:A397"/>
    <mergeCell ref="B396:B397"/>
    <mergeCell ref="C396:C397"/>
    <mergeCell ref="D396:D397"/>
    <mergeCell ref="E396:E397"/>
    <mergeCell ref="F396:F397"/>
    <mergeCell ref="G392:G393"/>
    <mergeCell ref="H392:H393"/>
    <mergeCell ref="A394:A395"/>
    <mergeCell ref="B394:B395"/>
    <mergeCell ref="C394:C395"/>
    <mergeCell ref="D394:D395"/>
    <mergeCell ref="E394:E395"/>
    <mergeCell ref="F394:F395"/>
    <mergeCell ref="G394:G395"/>
    <mergeCell ref="H394:H395"/>
    <mergeCell ref="A392:A393"/>
    <mergeCell ref="B392:B393"/>
    <mergeCell ref="C392:C393"/>
    <mergeCell ref="D392:D393"/>
    <mergeCell ref="E392:E393"/>
    <mergeCell ref="F392:F393"/>
    <mergeCell ref="G388:G389"/>
    <mergeCell ref="H388:H389"/>
    <mergeCell ref="A390:A391"/>
    <mergeCell ref="B390:B391"/>
    <mergeCell ref="C390:C391"/>
    <mergeCell ref="D390:D391"/>
    <mergeCell ref="E390:E391"/>
    <mergeCell ref="F390:F391"/>
    <mergeCell ref="G390:G391"/>
    <mergeCell ref="H390:H391"/>
    <mergeCell ref="A388:A389"/>
    <mergeCell ref="B388:B389"/>
    <mergeCell ref="C388:C389"/>
    <mergeCell ref="D388:D389"/>
    <mergeCell ref="E388:E389"/>
    <mergeCell ref="F388:F389"/>
    <mergeCell ref="G384:G385"/>
    <mergeCell ref="H384:H385"/>
    <mergeCell ref="A386:A387"/>
    <mergeCell ref="B386:B387"/>
    <mergeCell ref="C386:C387"/>
    <mergeCell ref="D386:D387"/>
    <mergeCell ref="E386:E387"/>
    <mergeCell ref="F386:F387"/>
    <mergeCell ref="G386:G387"/>
    <mergeCell ref="H386:H387"/>
    <mergeCell ref="A384:A385"/>
    <mergeCell ref="B384:B385"/>
    <mergeCell ref="C384:C385"/>
    <mergeCell ref="D384:D385"/>
    <mergeCell ref="E384:E385"/>
    <mergeCell ref="F384:F385"/>
    <mergeCell ref="G380:G381"/>
    <mergeCell ref="H380:H381"/>
    <mergeCell ref="A382:A383"/>
    <mergeCell ref="B382:B383"/>
    <mergeCell ref="C382:C383"/>
    <mergeCell ref="D382:D383"/>
    <mergeCell ref="E382:E383"/>
    <mergeCell ref="F382:F383"/>
    <mergeCell ref="G382:G383"/>
    <mergeCell ref="H382:H383"/>
    <mergeCell ref="A380:A381"/>
    <mergeCell ref="B380:B381"/>
    <mergeCell ref="C380:C381"/>
    <mergeCell ref="D380:D381"/>
    <mergeCell ref="E380:E381"/>
    <mergeCell ref="F380:F381"/>
    <mergeCell ref="G376:G377"/>
    <mergeCell ref="H376:H377"/>
    <mergeCell ref="A378:A379"/>
    <mergeCell ref="B378:B379"/>
    <mergeCell ref="C378:C379"/>
    <mergeCell ref="D378:D379"/>
    <mergeCell ref="E378:E379"/>
    <mergeCell ref="F378:F379"/>
    <mergeCell ref="G378:G379"/>
    <mergeCell ref="H378:H379"/>
    <mergeCell ref="A376:A377"/>
    <mergeCell ref="B376:B377"/>
    <mergeCell ref="C376:C377"/>
    <mergeCell ref="D376:D377"/>
    <mergeCell ref="E376:E377"/>
    <mergeCell ref="F376:F377"/>
    <mergeCell ref="G372:G373"/>
    <mergeCell ref="H372:H373"/>
    <mergeCell ref="A374:A375"/>
    <mergeCell ref="B374:B375"/>
    <mergeCell ref="C374:C375"/>
    <mergeCell ref="D374:D375"/>
    <mergeCell ref="E374:E375"/>
    <mergeCell ref="F374:F375"/>
    <mergeCell ref="G374:G375"/>
    <mergeCell ref="H374:H375"/>
    <mergeCell ref="A372:A373"/>
    <mergeCell ref="B372:B373"/>
    <mergeCell ref="C372:C373"/>
    <mergeCell ref="D372:D373"/>
    <mergeCell ref="E372:E373"/>
    <mergeCell ref="F372:F373"/>
    <mergeCell ref="G368:G369"/>
    <mergeCell ref="H368:H369"/>
    <mergeCell ref="A370:A371"/>
    <mergeCell ref="B370:B371"/>
    <mergeCell ref="C370:C371"/>
    <mergeCell ref="D370:D371"/>
    <mergeCell ref="E370:E371"/>
    <mergeCell ref="F370:F371"/>
    <mergeCell ref="G370:G371"/>
    <mergeCell ref="H370:H371"/>
    <mergeCell ref="A368:A369"/>
    <mergeCell ref="B368:B369"/>
    <mergeCell ref="C368:C369"/>
    <mergeCell ref="D368:D369"/>
    <mergeCell ref="E368:E369"/>
    <mergeCell ref="F368:F369"/>
    <mergeCell ref="G364:G365"/>
    <mergeCell ref="H364:H365"/>
    <mergeCell ref="A366:A367"/>
    <mergeCell ref="B366:B367"/>
    <mergeCell ref="C366:C367"/>
    <mergeCell ref="D366:D367"/>
    <mergeCell ref="E366:E367"/>
    <mergeCell ref="F366:F367"/>
    <mergeCell ref="G366:G367"/>
    <mergeCell ref="H366:H367"/>
    <mergeCell ref="A364:A365"/>
    <mergeCell ref="B364:B365"/>
    <mergeCell ref="C364:C365"/>
    <mergeCell ref="D364:D365"/>
    <mergeCell ref="E364:E365"/>
    <mergeCell ref="F364:F365"/>
    <mergeCell ref="G360:G361"/>
    <mergeCell ref="H360:H361"/>
    <mergeCell ref="A362:A363"/>
    <mergeCell ref="B362:B363"/>
    <mergeCell ref="C362:C363"/>
    <mergeCell ref="D362:D363"/>
    <mergeCell ref="E362:E363"/>
    <mergeCell ref="F362:F363"/>
    <mergeCell ref="G362:G363"/>
    <mergeCell ref="H362:H363"/>
    <mergeCell ref="A360:A361"/>
    <mergeCell ref="B360:B361"/>
    <mergeCell ref="C360:C361"/>
    <mergeCell ref="D360:D361"/>
    <mergeCell ref="E360:E361"/>
    <mergeCell ref="F360:F361"/>
    <mergeCell ref="G356:G357"/>
    <mergeCell ref="H356:H357"/>
    <mergeCell ref="A358:A359"/>
    <mergeCell ref="B358:B359"/>
    <mergeCell ref="C358:C359"/>
    <mergeCell ref="D358:D359"/>
    <mergeCell ref="E358:E359"/>
    <mergeCell ref="F358:F359"/>
    <mergeCell ref="G358:G359"/>
    <mergeCell ref="H358:H359"/>
    <mergeCell ref="A356:A357"/>
    <mergeCell ref="B356:B357"/>
    <mergeCell ref="C356:C357"/>
    <mergeCell ref="D356:D357"/>
    <mergeCell ref="E356:E357"/>
    <mergeCell ref="F356:F357"/>
    <mergeCell ref="G352:G353"/>
    <mergeCell ref="H352:H353"/>
    <mergeCell ref="A354:A355"/>
    <mergeCell ref="B354:B355"/>
    <mergeCell ref="C354:C355"/>
    <mergeCell ref="D354:D355"/>
    <mergeCell ref="E354:E355"/>
    <mergeCell ref="F354:F355"/>
    <mergeCell ref="G354:G355"/>
    <mergeCell ref="H354:H355"/>
    <mergeCell ref="A352:A353"/>
    <mergeCell ref="B352:B353"/>
    <mergeCell ref="C352:C353"/>
    <mergeCell ref="D352:D353"/>
    <mergeCell ref="E352:E353"/>
    <mergeCell ref="F352:F353"/>
    <mergeCell ref="G348:G349"/>
    <mergeCell ref="H348:H349"/>
    <mergeCell ref="A350:A351"/>
    <mergeCell ref="B350:B351"/>
    <mergeCell ref="C350:C351"/>
    <mergeCell ref="D350:D351"/>
    <mergeCell ref="E350:E351"/>
    <mergeCell ref="F350:F351"/>
    <mergeCell ref="G350:G351"/>
    <mergeCell ref="H350:H351"/>
    <mergeCell ref="A348:A349"/>
    <mergeCell ref="B348:B349"/>
    <mergeCell ref="C348:C349"/>
    <mergeCell ref="D348:D349"/>
    <mergeCell ref="E348:E349"/>
    <mergeCell ref="F348:F349"/>
    <mergeCell ref="G344:G345"/>
    <mergeCell ref="H344:H345"/>
    <mergeCell ref="A346:A347"/>
    <mergeCell ref="B346:B347"/>
    <mergeCell ref="C346:C347"/>
    <mergeCell ref="D346:D347"/>
    <mergeCell ref="E346:E347"/>
    <mergeCell ref="F346:F347"/>
    <mergeCell ref="G346:G347"/>
    <mergeCell ref="H346:H347"/>
    <mergeCell ref="A344:A345"/>
    <mergeCell ref="B344:B345"/>
    <mergeCell ref="C344:C345"/>
    <mergeCell ref="D344:D345"/>
    <mergeCell ref="E344:E345"/>
    <mergeCell ref="F344:F345"/>
    <mergeCell ref="G340:G341"/>
    <mergeCell ref="H340:H341"/>
    <mergeCell ref="A342:A343"/>
    <mergeCell ref="B342:B343"/>
    <mergeCell ref="C342:C343"/>
    <mergeCell ref="D342:D343"/>
    <mergeCell ref="E342:E343"/>
    <mergeCell ref="F342:F343"/>
    <mergeCell ref="G342:G343"/>
    <mergeCell ref="H342:H343"/>
    <mergeCell ref="A340:A341"/>
    <mergeCell ref="B340:B341"/>
    <mergeCell ref="C340:C341"/>
    <mergeCell ref="D340:D341"/>
    <mergeCell ref="E340:E341"/>
    <mergeCell ref="F340:F341"/>
    <mergeCell ref="G336:G337"/>
    <mergeCell ref="H336:H337"/>
    <mergeCell ref="A338:A339"/>
    <mergeCell ref="B338:B339"/>
    <mergeCell ref="C338:C339"/>
    <mergeCell ref="D338:D339"/>
    <mergeCell ref="E338:E339"/>
    <mergeCell ref="F338:F339"/>
    <mergeCell ref="G338:G339"/>
    <mergeCell ref="H338:H339"/>
    <mergeCell ref="A336:A337"/>
    <mergeCell ref="B336:B337"/>
    <mergeCell ref="C336:C337"/>
    <mergeCell ref="D336:D337"/>
    <mergeCell ref="E336:E337"/>
    <mergeCell ref="F336:F337"/>
    <mergeCell ref="G332:G333"/>
    <mergeCell ref="H332:H333"/>
    <mergeCell ref="A334:A335"/>
    <mergeCell ref="B334:B335"/>
    <mergeCell ref="C334:C335"/>
    <mergeCell ref="D334:D335"/>
    <mergeCell ref="E334:E335"/>
    <mergeCell ref="F334:F335"/>
    <mergeCell ref="G334:G335"/>
    <mergeCell ref="H334:H335"/>
    <mergeCell ref="A332:A333"/>
    <mergeCell ref="B332:B333"/>
    <mergeCell ref="C332:C333"/>
    <mergeCell ref="D332:D333"/>
    <mergeCell ref="E332:E333"/>
    <mergeCell ref="F332:F333"/>
    <mergeCell ref="G328:G329"/>
    <mergeCell ref="H328:H329"/>
    <mergeCell ref="A330:A331"/>
    <mergeCell ref="B330:B331"/>
    <mergeCell ref="C330:C331"/>
    <mergeCell ref="D330:D331"/>
    <mergeCell ref="E330:E331"/>
    <mergeCell ref="F330:F331"/>
    <mergeCell ref="G330:G331"/>
    <mergeCell ref="H330:H331"/>
    <mergeCell ref="A328:A329"/>
    <mergeCell ref="B328:B329"/>
    <mergeCell ref="C328:C329"/>
    <mergeCell ref="D328:D329"/>
    <mergeCell ref="E328:E329"/>
    <mergeCell ref="F328:F329"/>
    <mergeCell ref="G324:G325"/>
    <mergeCell ref="H324:H325"/>
    <mergeCell ref="A326:A327"/>
    <mergeCell ref="B326:B327"/>
    <mergeCell ref="C326:C327"/>
    <mergeCell ref="D326:D327"/>
    <mergeCell ref="E326:E327"/>
    <mergeCell ref="F326:F327"/>
    <mergeCell ref="G326:G327"/>
    <mergeCell ref="H326:H327"/>
    <mergeCell ref="A324:A325"/>
    <mergeCell ref="B324:B325"/>
    <mergeCell ref="C324:C325"/>
    <mergeCell ref="D324:D325"/>
    <mergeCell ref="E324:E325"/>
    <mergeCell ref="F324:F325"/>
    <mergeCell ref="G320:G321"/>
    <mergeCell ref="H320:H321"/>
    <mergeCell ref="A322:A323"/>
    <mergeCell ref="B322:B323"/>
    <mergeCell ref="C322:C323"/>
    <mergeCell ref="D322:D323"/>
    <mergeCell ref="E322:E323"/>
    <mergeCell ref="F322:F323"/>
    <mergeCell ref="G322:G323"/>
    <mergeCell ref="H322:H323"/>
    <mergeCell ref="A320:A321"/>
    <mergeCell ref="B320:B321"/>
    <mergeCell ref="C320:C321"/>
    <mergeCell ref="D320:D321"/>
    <mergeCell ref="E320:E321"/>
    <mergeCell ref="F320:F321"/>
    <mergeCell ref="G316:G317"/>
    <mergeCell ref="H316:H317"/>
    <mergeCell ref="A318:A319"/>
    <mergeCell ref="B318:B319"/>
    <mergeCell ref="C318:C319"/>
    <mergeCell ref="D318:D319"/>
    <mergeCell ref="E318:E319"/>
    <mergeCell ref="F318:F319"/>
    <mergeCell ref="G318:G319"/>
    <mergeCell ref="H318:H319"/>
    <mergeCell ref="A316:A317"/>
    <mergeCell ref="B316:B317"/>
    <mergeCell ref="C316:C317"/>
    <mergeCell ref="D316:D317"/>
    <mergeCell ref="E316:E317"/>
    <mergeCell ref="F316:F317"/>
    <mergeCell ref="G312:G313"/>
    <mergeCell ref="H312:H313"/>
    <mergeCell ref="A314:A315"/>
    <mergeCell ref="B314:B315"/>
    <mergeCell ref="C314:C315"/>
    <mergeCell ref="D314:D315"/>
    <mergeCell ref="E314:E315"/>
    <mergeCell ref="F314:F315"/>
    <mergeCell ref="G314:G315"/>
    <mergeCell ref="H314:H315"/>
    <mergeCell ref="A312:A313"/>
    <mergeCell ref="B312:B313"/>
    <mergeCell ref="C312:C313"/>
    <mergeCell ref="D312:D313"/>
    <mergeCell ref="E312:E313"/>
    <mergeCell ref="F312:F313"/>
    <mergeCell ref="G308:G309"/>
    <mergeCell ref="H308:H309"/>
    <mergeCell ref="A310:A311"/>
    <mergeCell ref="B310:B311"/>
    <mergeCell ref="C310:C311"/>
    <mergeCell ref="D310:D311"/>
    <mergeCell ref="E310:E311"/>
    <mergeCell ref="F310:F311"/>
    <mergeCell ref="G310:G311"/>
    <mergeCell ref="H310:H311"/>
    <mergeCell ref="A308:A309"/>
    <mergeCell ref="B308:B309"/>
    <mergeCell ref="C308:C309"/>
    <mergeCell ref="D308:D309"/>
    <mergeCell ref="E308:E309"/>
    <mergeCell ref="F308:F309"/>
    <mergeCell ref="G304:G305"/>
    <mergeCell ref="H304:H305"/>
    <mergeCell ref="A306:A307"/>
    <mergeCell ref="B306:B307"/>
    <mergeCell ref="C306:C307"/>
    <mergeCell ref="D306:D307"/>
    <mergeCell ref="E306:E307"/>
    <mergeCell ref="F306:F307"/>
    <mergeCell ref="G306:G307"/>
    <mergeCell ref="H306:H307"/>
    <mergeCell ref="A304:A305"/>
    <mergeCell ref="B304:B305"/>
    <mergeCell ref="C304:C305"/>
    <mergeCell ref="D304:D305"/>
    <mergeCell ref="E304:E305"/>
    <mergeCell ref="F304:F305"/>
    <mergeCell ref="G300:G301"/>
    <mergeCell ref="H300:H301"/>
    <mergeCell ref="A302:A303"/>
    <mergeCell ref="B302:B303"/>
    <mergeCell ref="C302:C303"/>
    <mergeCell ref="D302:D303"/>
    <mergeCell ref="E302:E303"/>
    <mergeCell ref="F302:F303"/>
    <mergeCell ref="G302:G303"/>
    <mergeCell ref="H302:H303"/>
    <mergeCell ref="A300:A301"/>
    <mergeCell ref="B300:B301"/>
    <mergeCell ref="C300:C301"/>
    <mergeCell ref="D300:D301"/>
    <mergeCell ref="E300:E301"/>
    <mergeCell ref="F300:F301"/>
    <mergeCell ref="G296:G297"/>
    <mergeCell ref="H296:H297"/>
    <mergeCell ref="A298:A299"/>
    <mergeCell ref="B298:B299"/>
    <mergeCell ref="C298:C299"/>
    <mergeCell ref="D298:D299"/>
    <mergeCell ref="E298:E299"/>
    <mergeCell ref="F298:F299"/>
    <mergeCell ref="G298:G299"/>
    <mergeCell ref="H298:H299"/>
    <mergeCell ref="A296:A297"/>
    <mergeCell ref="B296:B297"/>
    <mergeCell ref="C296:C297"/>
    <mergeCell ref="D296:D297"/>
    <mergeCell ref="E296:E297"/>
    <mergeCell ref="F296:F297"/>
    <mergeCell ref="G292:G293"/>
    <mergeCell ref="H292:H293"/>
    <mergeCell ref="A294:A295"/>
    <mergeCell ref="B294:B295"/>
    <mergeCell ref="C294:C295"/>
    <mergeCell ref="D294:D295"/>
    <mergeCell ref="E294:E295"/>
    <mergeCell ref="F294:F295"/>
    <mergeCell ref="G294:G295"/>
    <mergeCell ref="H294:H295"/>
    <mergeCell ref="A292:A293"/>
    <mergeCell ref="B292:B293"/>
    <mergeCell ref="C292:C293"/>
    <mergeCell ref="D292:D293"/>
    <mergeCell ref="E292:E293"/>
    <mergeCell ref="F292:F293"/>
    <mergeCell ref="G288:G289"/>
    <mergeCell ref="H288:H289"/>
    <mergeCell ref="A290:A291"/>
    <mergeCell ref="B290:B291"/>
    <mergeCell ref="C290:C291"/>
    <mergeCell ref="D290:D291"/>
    <mergeCell ref="E290:E291"/>
    <mergeCell ref="F290:F291"/>
    <mergeCell ref="G290:G291"/>
    <mergeCell ref="H290:H291"/>
    <mergeCell ref="A288:A289"/>
    <mergeCell ref="B288:B289"/>
    <mergeCell ref="C288:C289"/>
    <mergeCell ref="D288:D289"/>
    <mergeCell ref="E288:E289"/>
    <mergeCell ref="F288:F289"/>
    <mergeCell ref="G284:G285"/>
    <mergeCell ref="H284:H285"/>
    <mergeCell ref="A286:A287"/>
    <mergeCell ref="B286:B287"/>
    <mergeCell ref="C286:C287"/>
    <mergeCell ref="D286:D287"/>
    <mergeCell ref="E286:E287"/>
    <mergeCell ref="F286:F287"/>
    <mergeCell ref="G286:G287"/>
    <mergeCell ref="H286:H287"/>
    <mergeCell ref="A284:A285"/>
    <mergeCell ref="B284:B285"/>
    <mergeCell ref="C284:C285"/>
    <mergeCell ref="D284:D285"/>
    <mergeCell ref="E284:E285"/>
    <mergeCell ref="F284:F285"/>
    <mergeCell ref="G280:G281"/>
    <mergeCell ref="H280:H281"/>
    <mergeCell ref="A282:A283"/>
    <mergeCell ref="B282:B283"/>
    <mergeCell ref="C282:C283"/>
    <mergeCell ref="D282:D283"/>
    <mergeCell ref="E282:E283"/>
    <mergeCell ref="F282:F283"/>
    <mergeCell ref="G282:G283"/>
    <mergeCell ref="H282:H283"/>
    <mergeCell ref="A280:A281"/>
    <mergeCell ref="B280:B281"/>
    <mergeCell ref="C280:C281"/>
    <mergeCell ref="D280:D281"/>
    <mergeCell ref="E280:E281"/>
    <mergeCell ref="F280:F281"/>
    <mergeCell ref="G276:G277"/>
    <mergeCell ref="H276:H277"/>
    <mergeCell ref="A278:A279"/>
    <mergeCell ref="B278:B279"/>
    <mergeCell ref="C278:C279"/>
    <mergeCell ref="D278:D279"/>
    <mergeCell ref="E278:E279"/>
    <mergeCell ref="F278:F279"/>
    <mergeCell ref="G278:G279"/>
    <mergeCell ref="H278:H279"/>
    <mergeCell ref="A276:A277"/>
    <mergeCell ref="B276:B277"/>
    <mergeCell ref="C276:C277"/>
    <mergeCell ref="D276:D277"/>
    <mergeCell ref="E276:E277"/>
    <mergeCell ref="F276:F277"/>
    <mergeCell ref="A274:A275"/>
    <mergeCell ref="B274:B275"/>
    <mergeCell ref="C274:C275"/>
    <mergeCell ref="D274:D275"/>
    <mergeCell ref="E274:E275"/>
    <mergeCell ref="F274:F275"/>
    <mergeCell ref="G274:G275"/>
    <mergeCell ref="H274:H275"/>
    <mergeCell ref="H272:H273"/>
    <mergeCell ref="A272:A273"/>
    <mergeCell ref="B272:B273"/>
    <mergeCell ref="C272:C273"/>
    <mergeCell ref="D272:D273"/>
    <mergeCell ref="E272:E273"/>
    <mergeCell ref="F272:F273"/>
    <mergeCell ref="G272:G273"/>
    <mergeCell ref="G268:G269"/>
    <mergeCell ref="H268:H269"/>
    <mergeCell ref="A270:A271"/>
    <mergeCell ref="B270:B271"/>
    <mergeCell ref="C270:C271"/>
    <mergeCell ref="D270:D271"/>
    <mergeCell ref="E270:E271"/>
    <mergeCell ref="F270:F271"/>
    <mergeCell ref="G270:G271"/>
    <mergeCell ref="H270:H271"/>
    <mergeCell ref="A268:A269"/>
    <mergeCell ref="B268:B269"/>
    <mergeCell ref="C268:C269"/>
    <mergeCell ref="D268:D269"/>
    <mergeCell ref="E268:E269"/>
    <mergeCell ref="F268:F269"/>
    <mergeCell ref="G264:G265"/>
    <mergeCell ref="H264:H265"/>
    <mergeCell ref="A266:A267"/>
    <mergeCell ref="B266:B267"/>
    <mergeCell ref="C266:C267"/>
    <mergeCell ref="D266:D267"/>
    <mergeCell ref="E266:E267"/>
    <mergeCell ref="F266:F267"/>
    <mergeCell ref="G266:G267"/>
    <mergeCell ref="H266:H267"/>
    <mergeCell ref="A264:A265"/>
    <mergeCell ref="B264:B265"/>
    <mergeCell ref="C264:C265"/>
    <mergeCell ref="D264:D265"/>
    <mergeCell ref="E264:E265"/>
    <mergeCell ref="F264:F265"/>
    <mergeCell ref="G260:G261"/>
    <mergeCell ref="H260:H261"/>
    <mergeCell ref="A262:A263"/>
    <mergeCell ref="B262:B263"/>
    <mergeCell ref="C262:C263"/>
    <mergeCell ref="D262:D263"/>
    <mergeCell ref="E262:E263"/>
    <mergeCell ref="F262:F263"/>
    <mergeCell ref="G262:G263"/>
    <mergeCell ref="H262:H263"/>
    <mergeCell ref="A260:A261"/>
    <mergeCell ref="B260:B261"/>
    <mergeCell ref="C260:C261"/>
    <mergeCell ref="D260:D261"/>
    <mergeCell ref="E260:E261"/>
    <mergeCell ref="F260:F261"/>
    <mergeCell ref="A258:A259"/>
    <mergeCell ref="B258:B259"/>
    <mergeCell ref="C258:C259"/>
    <mergeCell ref="D258:D259"/>
    <mergeCell ref="E258:E259"/>
    <mergeCell ref="F258:F259"/>
    <mergeCell ref="G258:G259"/>
    <mergeCell ref="H258:H259"/>
    <mergeCell ref="P242:R242"/>
    <mergeCell ref="T242:T243"/>
    <mergeCell ref="U242:W242"/>
    <mergeCell ref="Y242:Y243"/>
    <mergeCell ref="Z242:AB242"/>
    <mergeCell ref="G242:G243"/>
    <mergeCell ref="H242:H243"/>
    <mergeCell ref="I242:I243"/>
    <mergeCell ref="J242:J243"/>
    <mergeCell ref="K242:M242"/>
    <mergeCell ref="O242:O243"/>
    <mergeCell ref="A242:A243"/>
    <mergeCell ref="B242:B243"/>
    <mergeCell ref="C242:C243"/>
    <mergeCell ref="D242:D243"/>
    <mergeCell ref="E242:E243"/>
    <mergeCell ref="F242:F243"/>
    <mergeCell ref="A240:AC240"/>
    <mergeCell ref="J241:N241"/>
    <mergeCell ref="O241:S241"/>
    <mergeCell ref="T241:X241"/>
    <mergeCell ref="Y241:AC241"/>
    <mergeCell ref="A230:AC230"/>
    <mergeCell ref="A231:AC231"/>
    <mergeCell ref="A232:AC232"/>
    <mergeCell ref="O234:P234"/>
    <mergeCell ref="O236:P236"/>
    <mergeCell ref="A239:AC239"/>
    <mergeCell ref="A225:G225"/>
    <mergeCell ref="H225:J225"/>
    <mergeCell ref="A227:G227"/>
    <mergeCell ref="H227:J227"/>
    <mergeCell ref="G201:G202"/>
    <mergeCell ref="H201:H202"/>
    <mergeCell ref="A203:A204"/>
    <mergeCell ref="B203:B204"/>
    <mergeCell ref="C203:C204"/>
    <mergeCell ref="D203:D204"/>
    <mergeCell ref="E203:E204"/>
    <mergeCell ref="F203:F204"/>
    <mergeCell ref="G203:G204"/>
    <mergeCell ref="H203:H204"/>
    <mergeCell ref="A201:A202"/>
    <mergeCell ref="B201:B202"/>
    <mergeCell ref="C201:C202"/>
    <mergeCell ref="D201:D202"/>
    <mergeCell ref="E201:E202"/>
    <mergeCell ref="F201:F202"/>
    <mergeCell ref="G197:G198"/>
    <mergeCell ref="H197:H198"/>
    <mergeCell ref="A199:A200"/>
    <mergeCell ref="B199:B200"/>
    <mergeCell ref="C199:C200"/>
    <mergeCell ref="D199:D200"/>
    <mergeCell ref="E199:E200"/>
    <mergeCell ref="F199:F200"/>
    <mergeCell ref="G199:G200"/>
    <mergeCell ref="H199:H200"/>
    <mergeCell ref="A197:A198"/>
    <mergeCell ref="B197:B198"/>
    <mergeCell ref="C197:C198"/>
    <mergeCell ref="D197:D198"/>
    <mergeCell ref="E197:E198"/>
    <mergeCell ref="F197:F198"/>
    <mergeCell ref="G193:G194"/>
    <mergeCell ref="H193:H194"/>
    <mergeCell ref="A195:A196"/>
    <mergeCell ref="B195:B196"/>
    <mergeCell ref="C195:C196"/>
    <mergeCell ref="D195:D196"/>
    <mergeCell ref="E195:E196"/>
    <mergeCell ref="F195:F196"/>
    <mergeCell ref="G195:G196"/>
    <mergeCell ref="H195:H196"/>
    <mergeCell ref="A193:A194"/>
    <mergeCell ref="B193:B194"/>
    <mergeCell ref="C193:C194"/>
    <mergeCell ref="D193:D194"/>
    <mergeCell ref="E193:E194"/>
    <mergeCell ref="F193:F194"/>
    <mergeCell ref="G189:G190"/>
    <mergeCell ref="H189:H190"/>
    <mergeCell ref="A191:A192"/>
    <mergeCell ref="B191:B192"/>
    <mergeCell ref="C191:C192"/>
    <mergeCell ref="D191:D192"/>
    <mergeCell ref="E191:E192"/>
    <mergeCell ref="F191:F192"/>
    <mergeCell ref="G191:G192"/>
    <mergeCell ref="H191:H192"/>
    <mergeCell ref="A189:A190"/>
    <mergeCell ref="B189:B190"/>
    <mergeCell ref="C189:C190"/>
    <mergeCell ref="D189:D190"/>
    <mergeCell ref="E189:E190"/>
    <mergeCell ref="F189:F190"/>
    <mergeCell ref="G185:G186"/>
    <mergeCell ref="H185:H186"/>
    <mergeCell ref="A187:A188"/>
    <mergeCell ref="B187:B188"/>
    <mergeCell ref="C187:C188"/>
    <mergeCell ref="D187:D188"/>
    <mergeCell ref="E187:E188"/>
    <mergeCell ref="F187:F188"/>
    <mergeCell ref="G187:G188"/>
    <mergeCell ref="H187:H188"/>
    <mergeCell ref="A185:A186"/>
    <mergeCell ref="B185:B186"/>
    <mergeCell ref="C185:C186"/>
    <mergeCell ref="D185:D186"/>
    <mergeCell ref="E185:E186"/>
    <mergeCell ref="F185:F186"/>
    <mergeCell ref="G181:G182"/>
    <mergeCell ref="H181:H182"/>
    <mergeCell ref="A183:A184"/>
    <mergeCell ref="B183:B184"/>
    <mergeCell ref="C183:C184"/>
    <mergeCell ref="D183:D184"/>
    <mergeCell ref="E183:E184"/>
    <mergeCell ref="F183:F184"/>
    <mergeCell ref="G183:G184"/>
    <mergeCell ref="H183:H184"/>
    <mergeCell ref="A181:A182"/>
    <mergeCell ref="B181:B182"/>
    <mergeCell ref="C181:C182"/>
    <mergeCell ref="D181:D182"/>
    <mergeCell ref="E181:E182"/>
    <mergeCell ref="F181:F182"/>
    <mergeCell ref="G177:G178"/>
    <mergeCell ref="H177:H178"/>
    <mergeCell ref="A179:A180"/>
    <mergeCell ref="B179:B180"/>
    <mergeCell ref="C179:C180"/>
    <mergeCell ref="D179:D180"/>
    <mergeCell ref="E179:E180"/>
    <mergeCell ref="F179:F180"/>
    <mergeCell ref="G179:G180"/>
    <mergeCell ref="H179:H180"/>
    <mergeCell ref="A177:A178"/>
    <mergeCell ref="B177:B178"/>
    <mergeCell ref="C177:C178"/>
    <mergeCell ref="D177:D178"/>
    <mergeCell ref="E177:E178"/>
    <mergeCell ref="F177:F178"/>
    <mergeCell ref="G173:G174"/>
    <mergeCell ref="H173:H174"/>
    <mergeCell ref="A175:A176"/>
    <mergeCell ref="B175:B176"/>
    <mergeCell ref="C175:C176"/>
    <mergeCell ref="D175:D176"/>
    <mergeCell ref="E175:E176"/>
    <mergeCell ref="F175:F176"/>
    <mergeCell ref="G175:G176"/>
    <mergeCell ref="H175:H176"/>
    <mergeCell ref="A173:A174"/>
    <mergeCell ref="B173:B174"/>
    <mergeCell ref="C173:C174"/>
    <mergeCell ref="D173:D174"/>
    <mergeCell ref="E173:E174"/>
    <mergeCell ref="F173:F174"/>
    <mergeCell ref="G169:G170"/>
    <mergeCell ref="H169:H170"/>
    <mergeCell ref="A171:A172"/>
    <mergeCell ref="B171:B172"/>
    <mergeCell ref="C171:C172"/>
    <mergeCell ref="D171:D172"/>
    <mergeCell ref="E171:E172"/>
    <mergeCell ref="F171:F172"/>
    <mergeCell ref="G171:G172"/>
    <mergeCell ref="H171:H172"/>
    <mergeCell ref="A169:A170"/>
    <mergeCell ref="B169:B170"/>
    <mergeCell ref="C169:C170"/>
    <mergeCell ref="D169:D170"/>
    <mergeCell ref="E169:E170"/>
    <mergeCell ref="F169:F170"/>
    <mergeCell ref="G165:G166"/>
    <mergeCell ref="H165:H166"/>
    <mergeCell ref="A167:A168"/>
    <mergeCell ref="B167:B168"/>
    <mergeCell ref="C167:C168"/>
    <mergeCell ref="D167:D168"/>
    <mergeCell ref="E167:E168"/>
    <mergeCell ref="F167:F168"/>
    <mergeCell ref="G167:G168"/>
    <mergeCell ref="H167:H168"/>
    <mergeCell ref="A165:A166"/>
    <mergeCell ref="B165:B166"/>
    <mergeCell ref="C165:C166"/>
    <mergeCell ref="D165:D166"/>
    <mergeCell ref="E165:E166"/>
    <mergeCell ref="F165:F166"/>
    <mergeCell ref="G161:G162"/>
    <mergeCell ref="H161:H162"/>
    <mergeCell ref="A163:A164"/>
    <mergeCell ref="B163:B164"/>
    <mergeCell ref="C163:C164"/>
    <mergeCell ref="D163:D164"/>
    <mergeCell ref="E163:E164"/>
    <mergeCell ref="F163:F164"/>
    <mergeCell ref="G163:G164"/>
    <mergeCell ref="H163:H164"/>
    <mergeCell ref="A161:A162"/>
    <mergeCell ref="B161:B162"/>
    <mergeCell ref="C161:C162"/>
    <mergeCell ref="D161:D162"/>
    <mergeCell ref="E161:E162"/>
    <mergeCell ref="F161:F162"/>
    <mergeCell ref="G157:G158"/>
    <mergeCell ref="H157:H158"/>
    <mergeCell ref="A159:A160"/>
    <mergeCell ref="B159:B160"/>
    <mergeCell ref="C159:C160"/>
    <mergeCell ref="D159:D160"/>
    <mergeCell ref="E159:E160"/>
    <mergeCell ref="F159:F160"/>
    <mergeCell ref="G159:G160"/>
    <mergeCell ref="H159:H160"/>
    <mergeCell ref="A157:A158"/>
    <mergeCell ref="B157:B158"/>
    <mergeCell ref="C157:C158"/>
    <mergeCell ref="D157:D158"/>
    <mergeCell ref="E157:E158"/>
    <mergeCell ref="F157:F158"/>
    <mergeCell ref="G153:G154"/>
    <mergeCell ref="H153:H154"/>
    <mergeCell ref="A155:A156"/>
    <mergeCell ref="B155:B156"/>
    <mergeCell ref="C155:C156"/>
    <mergeCell ref="D155:D156"/>
    <mergeCell ref="E155:E156"/>
    <mergeCell ref="F155:F156"/>
    <mergeCell ref="G155:G156"/>
    <mergeCell ref="H155:H156"/>
    <mergeCell ref="A153:A154"/>
    <mergeCell ref="B153:B154"/>
    <mergeCell ref="C153:C154"/>
    <mergeCell ref="D153:D154"/>
    <mergeCell ref="E153:E154"/>
    <mergeCell ref="F153:F154"/>
    <mergeCell ref="G149:G150"/>
    <mergeCell ref="H149:H150"/>
    <mergeCell ref="A151:A152"/>
    <mergeCell ref="B151:B152"/>
    <mergeCell ref="C151:C152"/>
    <mergeCell ref="D151:D152"/>
    <mergeCell ref="E151:E152"/>
    <mergeCell ref="F151:F152"/>
    <mergeCell ref="G151:G152"/>
    <mergeCell ref="H151:H152"/>
    <mergeCell ref="A149:A150"/>
    <mergeCell ref="B149:B150"/>
    <mergeCell ref="C149:C150"/>
    <mergeCell ref="D149:D150"/>
    <mergeCell ref="E149:E150"/>
    <mergeCell ref="F149:F150"/>
    <mergeCell ref="G145:G146"/>
    <mergeCell ref="H145:H146"/>
    <mergeCell ref="A147:A148"/>
    <mergeCell ref="B147:B148"/>
    <mergeCell ref="C147:C148"/>
    <mergeCell ref="D147:D148"/>
    <mergeCell ref="E147:E148"/>
    <mergeCell ref="F147:F148"/>
    <mergeCell ref="G147:G148"/>
    <mergeCell ref="H147:H148"/>
    <mergeCell ref="A145:A146"/>
    <mergeCell ref="B145:B146"/>
    <mergeCell ref="C145:C146"/>
    <mergeCell ref="D145:D146"/>
    <mergeCell ref="E145:E146"/>
    <mergeCell ref="F145:F146"/>
    <mergeCell ref="G141:G142"/>
    <mergeCell ref="H141:H142"/>
    <mergeCell ref="A143:A144"/>
    <mergeCell ref="B143:B144"/>
    <mergeCell ref="C143:C144"/>
    <mergeCell ref="D143:D144"/>
    <mergeCell ref="E143:E144"/>
    <mergeCell ref="F143:F144"/>
    <mergeCell ref="G143:G144"/>
    <mergeCell ref="H143:H144"/>
    <mergeCell ref="A141:A142"/>
    <mergeCell ref="B141:B142"/>
    <mergeCell ref="C141:C142"/>
    <mergeCell ref="D141:D142"/>
    <mergeCell ref="E141:E142"/>
    <mergeCell ref="F141:F142"/>
    <mergeCell ref="G137:G138"/>
    <mergeCell ref="H137:H138"/>
    <mergeCell ref="A139:A140"/>
    <mergeCell ref="B139:B140"/>
    <mergeCell ref="C139:C140"/>
    <mergeCell ref="D139:D140"/>
    <mergeCell ref="E139:E140"/>
    <mergeCell ref="F139:F140"/>
    <mergeCell ref="G139:G140"/>
    <mergeCell ref="H139:H140"/>
    <mergeCell ref="A137:A138"/>
    <mergeCell ref="B137:B138"/>
    <mergeCell ref="C137:C138"/>
    <mergeCell ref="D137:D138"/>
    <mergeCell ref="E137:E138"/>
    <mergeCell ref="F137:F138"/>
    <mergeCell ref="G133:G134"/>
    <mergeCell ref="H133:H134"/>
    <mergeCell ref="A135:A136"/>
    <mergeCell ref="B135:B136"/>
    <mergeCell ref="C135:C136"/>
    <mergeCell ref="D135:D136"/>
    <mergeCell ref="E135:E136"/>
    <mergeCell ref="F135:F136"/>
    <mergeCell ref="G135:G136"/>
    <mergeCell ref="H135:H136"/>
    <mergeCell ref="A133:A134"/>
    <mergeCell ref="B133:B134"/>
    <mergeCell ref="C133:C134"/>
    <mergeCell ref="D133:D134"/>
    <mergeCell ref="E133:E134"/>
    <mergeCell ref="F133:F134"/>
    <mergeCell ref="G129:G130"/>
    <mergeCell ref="H129:H130"/>
    <mergeCell ref="A131:A132"/>
    <mergeCell ref="B131:B132"/>
    <mergeCell ref="C131:C132"/>
    <mergeCell ref="D131:D132"/>
    <mergeCell ref="E131:E132"/>
    <mergeCell ref="F131:F132"/>
    <mergeCell ref="G131:G132"/>
    <mergeCell ref="H131:H132"/>
    <mergeCell ref="A129:A130"/>
    <mergeCell ref="B129:B130"/>
    <mergeCell ref="C129:C130"/>
    <mergeCell ref="D129:D130"/>
    <mergeCell ref="E129:E130"/>
    <mergeCell ref="F129:F130"/>
    <mergeCell ref="G125:G126"/>
    <mergeCell ref="H125:H126"/>
    <mergeCell ref="A127:A128"/>
    <mergeCell ref="B127:B128"/>
    <mergeCell ref="C127:C128"/>
    <mergeCell ref="D127:D128"/>
    <mergeCell ref="E127:E128"/>
    <mergeCell ref="F127:F128"/>
    <mergeCell ref="G127:G128"/>
    <mergeCell ref="H127:H128"/>
    <mergeCell ref="A125:A126"/>
    <mergeCell ref="B125:B126"/>
    <mergeCell ref="C125:C126"/>
    <mergeCell ref="D125:D126"/>
    <mergeCell ref="E125:E126"/>
    <mergeCell ref="F125:F126"/>
    <mergeCell ref="G121:G122"/>
    <mergeCell ref="H121:H122"/>
    <mergeCell ref="A123:A124"/>
    <mergeCell ref="B123:B124"/>
    <mergeCell ref="C123:C124"/>
    <mergeCell ref="D123:D124"/>
    <mergeCell ref="E123:E124"/>
    <mergeCell ref="F123:F124"/>
    <mergeCell ref="G123:G124"/>
    <mergeCell ref="H123:H124"/>
    <mergeCell ref="A121:A122"/>
    <mergeCell ref="B121:B122"/>
    <mergeCell ref="C121:C122"/>
    <mergeCell ref="D121:D122"/>
    <mergeCell ref="E121:E122"/>
    <mergeCell ref="F121:F122"/>
    <mergeCell ref="G117:G118"/>
    <mergeCell ref="H117:H118"/>
    <mergeCell ref="A119:A120"/>
    <mergeCell ref="B119:B120"/>
    <mergeCell ref="C119:C120"/>
    <mergeCell ref="D119:D120"/>
    <mergeCell ref="E119:E120"/>
    <mergeCell ref="F119:F120"/>
    <mergeCell ref="G119:G120"/>
    <mergeCell ref="H119:H120"/>
    <mergeCell ref="A117:A118"/>
    <mergeCell ref="B117:B118"/>
    <mergeCell ref="C117:C118"/>
    <mergeCell ref="D117:D118"/>
    <mergeCell ref="E117:E118"/>
    <mergeCell ref="F117:F118"/>
    <mergeCell ref="G113:G114"/>
    <mergeCell ref="H113:H114"/>
    <mergeCell ref="A115:A116"/>
    <mergeCell ref="B115:B116"/>
    <mergeCell ref="C115:C116"/>
    <mergeCell ref="D115:D116"/>
    <mergeCell ref="E115:E116"/>
    <mergeCell ref="F115:F116"/>
    <mergeCell ref="G115:G116"/>
    <mergeCell ref="H115:H116"/>
    <mergeCell ref="A113:A114"/>
    <mergeCell ref="B113:B114"/>
    <mergeCell ref="C113:C114"/>
    <mergeCell ref="D113:D114"/>
    <mergeCell ref="E113:E114"/>
    <mergeCell ref="F113:F114"/>
    <mergeCell ref="G109:G110"/>
    <mergeCell ref="H109:H110"/>
    <mergeCell ref="A111:A112"/>
    <mergeCell ref="B111:B112"/>
    <mergeCell ref="C111:C112"/>
    <mergeCell ref="D111:D112"/>
    <mergeCell ref="E111:E112"/>
    <mergeCell ref="F111:F112"/>
    <mergeCell ref="G111:G112"/>
    <mergeCell ref="H111:H112"/>
    <mergeCell ref="A109:A110"/>
    <mergeCell ref="B109:B110"/>
    <mergeCell ref="C109:C110"/>
    <mergeCell ref="D109:D110"/>
    <mergeCell ref="E109:E110"/>
    <mergeCell ref="F109:F110"/>
    <mergeCell ref="G105:G106"/>
    <mergeCell ref="H105:H106"/>
    <mergeCell ref="A107:A108"/>
    <mergeCell ref="B107:B108"/>
    <mergeCell ref="C107:C108"/>
    <mergeCell ref="D107:D108"/>
    <mergeCell ref="E107:E108"/>
    <mergeCell ref="F107:F108"/>
    <mergeCell ref="G107:G108"/>
    <mergeCell ref="H107:H108"/>
    <mergeCell ref="A105:A106"/>
    <mergeCell ref="B105:B106"/>
    <mergeCell ref="C105:C106"/>
    <mergeCell ref="D105:D106"/>
    <mergeCell ref="E105:E106"/>
    <mergeCell ref="F105:F106"/>
    <mergeCell ref="G101:G102"/>
    <mergeCell ref="H101:H102"/>
    <mergeCell ref="A103:A104"/>
    <mergeCell ref="B103:B104"/>
    <mergeCell ref="C103:C104"/>
    <mergeCell ref="D103:D104"/>
    <mergeCell ref="E103:E104"/>
    <mergeCell ref="F103:F104"/>
    <mergeCell ref="G103:G104"/>
    <mergeCell ref="H103:H104"/>
    <mergeCell ref="A101:A102"/>
    <mergeCell ref="B101:B102"/>
    <mergeCell ref="C101:C102"/>
    <mergeCell ref="D101:D102"/>
    <mergeCell ref="E101:E102"/>
    <mergeCell ref="F101:F102"/>
    <mergeCell ref="G97:G98"/>
    <mergeCell ref="H97:H98"/>
    <mergeCell ref="A99:A100"/>
    <mergeCell ref="B99:B100"/>
    <mergeCell ref="C99:C100"/>
    <mergeCell ref="D99:D100"/>
    <mergeCell ref="E99:E100"/>
    <mergeCell ref="F99:F100"/>
    <mergeCell ref="G99:G100"/>
    <mergeCell ref="H99:H100"/>
    <mergeCell ref="A97:A98"/>
    <mergeCell ref="B97:B98"/>
    <mergeCell ref="C97:C98"/>
    <mergeCell ref="D97:D98"/>
    <mergeCell ref="E97:E98"/>
    <mergeCell ref="F97:F98"/>
    <mergeCell ref="G93:G94"/>
    <mergeCell ref="H93:H94"/>
    <mergeCell ref="A95:A96"/>
    <mergeCell ref="B95:B96"/>
    <mergeCell ref="C95:C96"/>
    <mergeCell ref="D95:D96"/>
    <mergeCell ref="E95:E96"/>
    <mergeCell ref="F95:F96"/>
    <mergeCell ref="G95:G96"/>
    <mergeCell ref="H95:H96"/>
    <mergeCell ref="A93:A94"/>
    <mergeCell ref="B93:B94"/>
    <mergeCell ref="C93:C94"/>
    <mergeCell ref="D93:D94"/>
    <mergeCell ref="E93:E94"/>
    <mergeCell ref="F93:F94"/>
    <mergeCell ref="G89:G90"/>
    <mergeCell ref="H89:H90"/>
    <mergeCell ref="A91:A92"/>
    <mergeCell ref="B91:B92"/>
    <mergeCell ref="C91:C92"/>
    <mergeCell ref="D91:D92"/>
    <mergeCell ref="E91:E92"/>
    <mergeCell ref="F91:F92"/>
    <mergeCell ref="G91:G92"/>
    <mergeCell ref="H91:H92"/>
    <mergeCell ref="A89:A90"/>
    <mergeCell ref="B89:B90"/>
    <mergeCell ref="C89:C90"/>
    <mergeCell ref="D89:D90"/>
    <mergeCell ref="E89:E90"/>
    <mergeCell ref="F89:F90"/>
    <mergeCell ref="G85:G86"/>
    <mergeCell ref="H85:H86"/>
    <mergeCell ref="A87:A88"/>
    <mergeCell ref="B87:B88"/>
    <mergeCell ref="C87:C88"/>
    <mergeCell ref="D87:D88"/>
    <mergeCell ref="E87:E88"/>
    <mergeCell ref="F87:F88"/>
    <mergeCell ref="G87:G88"/>
    <mergeCell ref="H87:H88"/>
    <mergeCell ref="A85:A86"/>
    <mergeCell ref="B85:B86"/>
    <mergeCell ref="C85:C86"/>
    <mergeCell ref="D85:D86"/>
    <mergeCell ref="E85:E86"/>
    <mergeCell ref="F85:F86"/>
    <mergeCell ref="G81:G82"/>
    <mergeCell ref="H81:H82"/>
    <mergeCell ref="A83:A84"/>
    <mergeCell ref="B83:B84"/>
    <mergeCell ref="C83:C84"/>
    <mergeCell ref="D83:D84"/>
    <mergeCell ref="E83:E84"/>
    <mergeCell ref="F83:F84"/>
    <mergeCell ref="G83:G84"/>
    <mergeCell ref="H83:H84"/>
    <mergeCell ref="A81:A82"/>
    <mergeCell ref="B81:B82"/>
    <mergeCell ref="C81:C82"/>
    <mergeCell ref="D81:D82"/>
    <mergeCell ref="E81:E82"/>
    <mergeCell ref="F81:F82"/>
    <mergeCell ref="G77:G78"/>
    <mergeCell ref="H77:H78"/>
    <mergeCell ref="A79:A80"/>
    <mergeCell ref="B79:B80"/>
    <mergeCell ref="C79:C80"/>
    <mergeCell ref="D79:D80"/>
    <mergeCell ref="E79:E80"/>
    <mergeCell ref="F79:F80"/>
    <mergeCell ref="G79:G80"/>
    <mergeCell ref="H79:H80"/>
    <mergeCell ref="A77:A78"/>
    <mergeCell ref="B77:B78"/>
    <mergeCell ref="C77:C78"/>
    <mergeCell ref="D77:D78"/>
    <mergeCell ref="E77:E78"/>
    <mergeCell ref="F77:F78"/>
    <mergeCell ref="G73:G74"/>
    <mergeCell ref="H73:H74"/>
    <mergeCell ref="A75:A76"/>
    <mergeCell ref="B75:B76"/>
    <mergeCell ref="C75:C76"/>
    <mergeCell ref="D75:D76"/>
    <mergeCell ref="E75:E76"/>
    <mergeCell ref="F75:F76"/>
    <mergeCell ref="G75:G76"/>
    <mergeCell ref="H75:H76"/>
    <mergeCell ref="A73:A74"/>
    <mergeCell ref="B73:B74"/>
    <mergeCell ref="C73:C74"/>
    <mergeCell ref="D73:D74"/>
    <mergeCell ref="E73:E74"/>
    <mergeCell ref="F73:F74"/>
    <mergeCell ref="G69:G70"/>
    <mergeCell ref="H69:H70"/>
    <mergeCell ref="A71:A72"/>
    <mergeCell ref="B71:B72"/>
    <mergeCell ref="C71:C72"/>
    <mergeCell ref="D71:D72"/>
    <mergeCell ref="E71:E72"/>
    <mergeCell ref="F71:F72"/>
    <mergeCell ref="G71:G72"/>
    <mergeCell ref="H71:H72"/>
    <mergeCell ref="A69:A70"/>
    <mergeCell ref="B69:B70"/>
    <mergeCell ref="C69:C70"/>
    <mergeCell ref="D69:D70"/>
    <mergeCell ref="E69:E70"/>
    <mergeCell ref="F69:F70"/>
    <mergeCell ref="G65:G66"/>
    <mergeCell ref="H65:H66"/>
    <mergeCell ref="A67:A68"/>
    <mergeCell ref="B67:B68"/>
    <mergeCell ref="C67:C68"/>
    <mergeCell ref="D67:D68"/>
    <mergeCell ref="E67:E68"/>
    <mergeCell ref="F67:F68"/>
    <mergeCell ref="G67:G68"/>
    <mergeCell ref="H67:H68"/>
    <mergeCell ref="A65:A66"/>
    <mergeCell ref="B65:B66"/>
    <mergeCell ref="C65:C66"/>
    <mergeCell ref="D65:D66"/>
    <mergeCell ref="E65:E66"/>
    <mergeCell ref="F65:F66"/>
    <mergeCell ref="G61:G62"/>
    <mergeCell ref="H61:H62"/>
    <mergeCell ref="A63:A64"/>
    <mergeCell ref="B63:B64"/>
    <mergeCell ref="C63:C64"/>
    <mergeCell ref="D63:D64"/>
    <mergeCell ref="E63:E64"/>
    <mergeCell ref="F63:F64"/>
    <mergeCell ref="G63:G64"/>
    <mergeCell ref="H63:H64"/>
    <mergeCell ref="A61:A62"/>
    <mergeCell ref="B61:B62"/>
    <mergeCell ref="C61:C62"/>
    <mergeCell ref="D61:D62"/>
    <mergeCell ref="E61:E62"/>
    <mergeCell ref="F61:F62"/>
    <mergeCell ref="G57:G58"/>
    <mergeCell ref="H57:H58"/>
    <mergeCell ref="A59:A60"/>
    <mergeCell ref="B59:B60"/>
    <mergeCell ref="C59:C60"/>
    <mergeCell ref="D59:D60"/>
    <mergeCell ref="E59:E60"/>
    <mergeCell ref="F59:F60"/>
    <mergeCell ref="G59:G60"/>
    <mergeCell ref="H59:H60"/>
    <mergeCell ref="A57:A58"/>
    <mergeCell ref="B57:B58"/>
    <mergeCell ref="C57:C58"/>
    <mergeCell ref="D57:D58"/>
    <mergeCell ref="E57:E58"/>
    <mergeCell ref="F57:F58"/>
    <mergeCell ref="G53:G54"/>
    <mergeCell ref="H53:H54"/>
    <mergeCell ref="A55:A56"/>
    <mergeCell ref="B55:B56"/>
    <mergeCell ref="C55:C56"/>
    <mergeCell ref="D55:D56"/>
    <mergeCell ref="E55:E56"/>
    <mergeCell ref="F55:F56"/>
    <mergeCell ref="G55:G56"/>
    <mergeCell ref="H55:H56"/>
    <mergeCell ref="A53:A54"/>
    <mergeCell ref="B53:B54"/>
    <mergeCell ref="C53:C54"/>
    <mergeCell ref="D53:D54"/>
    <mergeCell ref="E53:E54"/>
    <mergeCell ref="F53:F54"/>
    <mergeCell ref="G49:G50"/>
    <mergeCell ref="H49:H50"/>
    <mergeCell ref="A51:A52"/>
    <mergeCell ref="B51:B52"/>
    <mergeCell ref="C51:C52"/>
    <mergeCell ref="D51:D52"/>
    <mergeCell ref="E51:E52"/>
    <mergeCell ref="F51:F52"/>
    <mergeCell ref="G51:G52"/>
    <mergeCell ref="H51:H52"/>
    <mergeCell ref="A49:A50"/>
    <mergeCell ref="B49:B50"/>
    <mergeCell ref="C49:C50"/>
    <mergeCell ref="D49:D50"/>
    <mergeCell ref="E49:E50"/>
    <mergeCell ref="F49:F50"/>
    <mergeCell ref="G45:G46"/>
    <mergeCell ref="H45:H46"/>
    <mergeCell ref="A47:A48"/>
    <mergeCell ref="B47:B48"/>
    <mergeCell ref="C47:C48"/>
    <mergeCell ref="D47:D48"/>
    <mergeCell ref="E47:E48"/>
    <mergeCell ref="F47:F48"/>
    <mergeCell ref="G47:G48"/>
    <mergeCell ref="H47:H48"/>
    <mergeCell ref="A45:A46"/>
    <mergeCell ref="B45:B46"/>
    <mergeCell ref="C45:C46"/>
    <mergeCell ref="D45:D46"/>
    <mergeCell ref="E45:E46"/>
    <mergeCell ref="F45:F46"/>
    <mergeCell ref="G41:G42"/>
    <mergeCell ref="H41:H42"/>
    <mergeCell ref="A43:A44"/>
    <mergeCell ref="B43:B44"/>
    <mergeCell ref="C43:C44"/>
    <mergeCell ref="D43:D44"/>
    <mergeCell ref="E43:E44"/>
    <mergeCell ref="F43:F44"/>
    <mergeCell ref="G43:G44"/>
    <mergeCell ref="H43:H44"/>
    <mergeCell ref="A41:A42"/>
    <mergeCell ref="B41:B42"/>
    <mergeCell ref="C41:C42"/>
    <mergeCell ref="D41:D42"/>
    <mergeCell ref="E41:E42"/>
    <mergeCell ref="F41:F42"/>
    <mergeCell ref="G37:G38"/>
    <mergeCell ref="H37:H38"/>
    <mergeCell ref="A39:A40"/>
    <mergeCell ref="B39:B40"/>
    <mergeCell ref="C39:C40"/>
    <mergeCell ref="D39:D40"/>
    <mergeCell ref="E39:E40"/>
    <mergeCell ref="F39:F40"/>
    <mergeCell ref="G39:G40"/>
    <mergeCell ref="H39:H40"/>
    <mergeCell ref="A37:A38"/>
    <mergeCell ref="B37:B38"/>
    <mergeCell ref="C37:C38"/>
    <mergeCell ref="D37:D38"/>
    <mergeCell ref="E37:E38"/>
    <mergeCell ref="F37:F38"/>
    <mergeCell ref="G33:G34"/>
    <mergeCell ref="H33:H34"/>
    <mergeCell ref="A35:A36"/>
    <mergeCell ref="B35:B36"/>
    <mergeCell ref="C35:C36"/>
    <mergeCell ref="D35:D36"/>
    <mergeCell ref="E35:E36"/>
    <mergeCell ref="F35:F36"/>
    <mergeCell ref="G35:G36"/>
    <mergeCell ref="H35:H36"/>
    <mergeCell ref="A33:A34"/>
    <mergeCell ref="B33:B34"/>
    <mergeCell ref="C33:C34"/>
    <mergeCell ref="D33:D34"/>
    <mergeCell ref="E33:E34"/>
    <mergeCell ref="F33:F34"/>
    <mergeCell ref="G29:G30"/>
    <mergeCell ref="H29:H30"/>
    <mergeCell ref="A31:A32"/>
    <mergeCell ref="B31:B32"/>
    <mergeCell ref="C31:C32"/>
    <mergeCell ref="D31:D32"/>
    <mergeCell ref="E31:E32"/>
    <mergeCell ref="F31:F32"/>
    <mergeCell ref="G31:G32"/>
    <mergeCell ref="H31:H32"/>
    <mergeCell ref="A29:A30"/>
    <mergeCell ref="B29:B30"/>
    <mergeCell ref="C29:C30"/>
    <mergeCell ref="D29:D30"/>
    <mergeCell ref="E29:E30"/>
    <mergeCell ref="F29:F30"/>
    <mergeCell ref="A27:A28"/>
    <mergeCell ref="B27:B28"/>
    <mergeCell ref="C27:C28"/>
    <mergeCell ref="D27:D28"/>
    <mergeCell ref="E27:E28"/>
    <mergeCell ref="F27:F28"/>
    <mergeCell ref="G27:G28"/>
    <mergeCell ref="H27:H28"/>
    <mergeCell ref="A8:AC8"/>
    <mergeCell ref="J10:N10"/>
    <mergeCell ref="O10:S10"/>
    <mergeCell ref="T10:X10"/>
    <mergeCell ref="Y10:AC10"/>
    <mergeCell ref="S1:AC1"/>
    <mergeCell ref="S2:AC2"/>
    <mergeCell ref="S3:AC3"/>
    <mergeCell ref="S4:AC4"/>
    <mergeCell ref="A6:AC7"/>
    <mergeCell ref="P11:R11"/>
    <mergeCell ref="T11:T12"/>
    <mergeCell ref="U11:W11"/>
    <mergeCell ref="Y11:Y12"/>
    <mergeCell ref="Z11:AB11"/>
    <mergeCell ref="G11:G12"/>
    <mergeCell ref="H11:H12"/>
    <mergeCell ref="I11:I12"/>
    <mergeCell ref="J11:J12"/>
    <mergeCell ref="K11:M11"/>
    <mergeCell ref="O11:O12"/>
    <mergeCell ref="A11:A12"/>
    <mergeCell ref="B11:B12"/>
    <mergeCell ref="C11:C12"/>
    <mergeCell ref="D11:D12"/>
    <mergeCell ref="E11:E12"/>
    <mergeCell ref="F11:F12"/>
  </mergeCells>
  <printOptions horizontalCentered="1"/>
  <pageMargins left="0.19685039370078741" right="0.15748031496062992" top="0.39370078740157483" bottom="0.35433070866141736" header="0.15748031496062992" footer="0.15748031496062992"/>
  <pageSetup paperSize="8" scale="52" firstPageNumber="0" fitToHeight="2" orientation="landscape" r:id="rId1"/>
  <headerFooter alignWithMargins="0">
    <oddFooter>&amp;C&amp;16Page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N662"/>
  <sheetViews>
    <sheetView view="pageBreakPreview" zoomScaleNormal="100" zoomScaleSheetLayoutView="100" workbookViewId="0">
      <pane ySplit="20" topLeftCell="A21" activePane="bottomLeft" state="frozen"/>
      <selection activeCell="A6" sqref="A6:J17"/>
      <selection pane="bottomLeft" activeCell="C24" sqref="C24"/>
    </sheetView>
  </sheetViews>
  <sheetFormatPr baseColWidth="10" defaultColWidth="20.5" defaultRowHeight="13" x14ac:dyDescent="0.15"/>
  <cols>
    <col min="1" max="1" width="50.33203125" style="800" customWidth="1"/>
    <col min="2" max="2" width="3.83203125" style="799" bestFit="1" customWidth="1"/>
    <col min="3" max="3" width="10.6640625" style="800" customWidth="1"/>
    <col min="4" max="4" width="12" style="799" bestFit="1" customWidth="1"/>
    <col min="5" max="5" width="13.33203125" style="800" customWidth="1"/>
    <col min="6" max="6" width="12.5" style="800" customWidth="1"/>
    <col min="7" max="7" width="10.5" style="800" customWidth="1"/>
    <col min="8" max="8" width="10.1640625" style="800" customWidth="1"/>
    <col min="9" max="9" width="9.5" style="800" customWidth="1"/>
    <col min="10" max="10" width="11.6640625" style="800" customWidth="1"/>
    <col min="11" max="256" width="20.5" style="800"/>
    <col min="257" max="257" width="51.1640625" style="800" customWidth="1"/>
    <col min="258" max="258" width="3.83203125" style="800" bestFit="1" customWidth="1"/>
    <col min="259" max="259" width="8.6640625" style="800" bestFit="1" customWidth="1"/>
    <col min="260" max="260" width="12" style="800" bestFit="1" customWidth="1"/>
    <col min="261" max="261" width="13.33203125" style="800" customWidth="1"/>
    <col min="262" max="262" width="11.33203125" style="800" customWidth="1"/>
    <col min="263" max="263" width="10.5" style="800" customWidth="1"/>
    <col min="264" max="264" width="10.1640625" style="800" customWidth="1"/>
    <col min="265" max="265" width="10.33203125" style="800" customWidth="1"/>
    <col min="266" max="266" width="11.33203125" style="800" customWidth="1"/>
    <col min="267" max="512" width="20.5" style="800"/>
    <col min="513" max="513" width="51.1640625" style="800" customWidth="1"/>
    <col min="514" max="514" width="3.83203125" style="800" bestFit="1" customWidth="1"/>
    <col min="515" max="515" width="8.6640625" style="800" bestFit="1" customWidth="1"/>
    <col min="516" max="516" width="12" style="800" bestFit="1" customWidth="1"/>
    <col min="517" max="517" width="13.33203125" style="800" customWidth="1"/>
    <col min="518" max="518" width="11.33203125" style="800" customWidth="1"/>
    <col min="519" max="519" width="10.5" style="800" customWidth="1"/>
    <col min="520" max="520" width="10.1640625" style="800" customWidth="1"/>
    <col min="521" max="521" width="10.33203125" style="800" customWidth="1"/>
    <col min="522" max="522" width="11.33203125" style="800" customWidth="1"/>
    <col min="523" max="768" width="20.5" style="800"/>
    <col min="769" max="769" width="51.1640625" style="800" customWidth="1"/>
    <col min="770" max="770" width="3.83203125" style="800" bestFit="1" customWidth="1"/>
    <col min="771" max="771" width="8.6640625" style="800" bestFit="1" customWidth="1"/>
    <col min="772" max="772" width="12" style="800" bestFit="1" customWidth="1"/>
    <col min="773" max="773" width="13.33203125" style="800" customWidth="1"/>
    <col min="774" max="774" width="11.33203125" style="800" customWidth="1"/>
    <col min="775" max="775" width="10.5" style="800" customWidth="1"/>
    <col min="776" max="776" width="10.1640625" style="800" customWidth="1"/>
    <col min="777" max="777" width="10.33203125" style="800" customWidth="1"/>
    <col min="778" max="778" width="11.33203125" style="800" customWidth="1"/>
    <col min="779" max="1024" width="20.5" style="800"/>
    <col min="1025" max="1025" width="51.1640625" style="800" customWidth="1"/>
    <col min="1026" max="1026" width="3.83203125" style="800" bestFit="1" customWidth="1"/>
    <col min="1027" max="1027" width="8.6640625" style="800" bestFit="1" customWidth="1"/>
    <col min="1028" max="1028" width="12" style="800" bestFit="1" customWidth="1"/>
    <col min="1029" max="1029" width="13.33203125" style="800" customWidth="1"/>
    <col min="1030" max="1030" width="11.33203125" style="800" customWidth="1"/>
    <col min="1031" max="1031" width="10.5" style="800" customWidth="1"/>
    <col min="1032" max="1032" width="10.1640625" style="800" customWidth="1"/>
    <col min="1033" max="1033" width="10.33203125" style="800" customWidth="1"/>
    <col min="1034" max="1034" width="11.33203125" style="800" customWidth="1"/>
    <col min="1035" max="1280" width="20.5" style="800"/>
    <col min="1281" max="1281" width="51.1640625" style="800" customWidth="1"/>
    <col min="1282" max="1282" width="3.83203125" style="800" bestFit="1" customWidth="1"/>
    <col min="1283" max="1283" width="8.6640625" style="800" bestFit="1" customWidth="1"/>
    <col min="1284" max="1284" width="12" style="800" bestFit="1" customWidth="1"/>
    <col min="1285" max="1285" width="13.33203125" style="800" customWidth="1"/>
    <col min="1286" max="1286" width="11.33203125" style="800" customWidth="1"/>
    <col min="1287" max="1287" width="10.5" style="800" customWidth="1"/>
    <col min="1288" max="1288" width="10.1640625" style="800" customWidth="1"/>
    <col min="1289" max="1289" width="10.33203125" style="800" customWidth="1"/>
    <col min="1290" max="1290" width="11.33203125" style="800" customWidth="1"/>
    <col min="1291" max="1536" width="20.5" style="800"/>
    <col min="1537" max="1537" width="51.1640625" style="800" customWidth="1"/>
    <col min="1538" max="1538" width="3.83203125" style="800" bestFit="1" customWidth="1"/>
    <col min="1539" max="1539" width="8.6640625" style="800" bestFit="1" customWidth="1"/>
    <col min="1540" max="1540" width="12" style="800" bestFit="1" customWidth="1"/>
    <col min="1541" max="1541" width="13.33203125" style="800" customWidth="1"/>
    <col min="1542" max="1542" width="11.33203125" style="800" customWidth="1"/>
    <col min="1543" max="1543" width="10.5" style="800" customWidth="1"/>
    <col min="1544" max="1544" width="10.1640625" style="800" customWidth="1"/>
    <col min="1545" max="1545" width="10.33203125" style="800" customWidth="1"/>
    <col min="1546" max="1546" width="11.33203125" style="800" customWidth="1"/>
    <col min="1547" max="1792" width="20.5" style="800"/>
    <col min="1793" max="1793" width="51.1640625" style="800" customWidth="1"/>
    <col min="1794" max="1794" width="3.83203125" style="800" bestFit="1" customWidth="1"/>
    <col min="1795" max="1795" width="8.6640625" style="800" bestFit="1" customWidth="1"/>
    <col min="1796" max="1796" width="12" style="800" bestFit="1" customWidth="1"/>
    <col min="1797" max="1797" width="13.33203125" style="800" customWidth="1"/>
    <col min="1798" max="1798" width="11.33203125" style="800" customWidth="1"/>
    <col min="1799" max="1799" width="10.5" style="800" customWidth="1"/>
    <col min="1800" max="1800" width="10.1640625" style="800" customWidth="1"/>
    <col min="1801" max="1801" width="10.33203125" style="800" customWidth="1"/>
    <col min="1802" max="1802" width="11.33203125" style="800" customWidth="1"/>
    <col min="1803" max="2048" width="20.5" style="800"/>
    <col min="2049" max="2049" width="51.1640625" style="800" customWidth="1"/>
    <col min="2050" max="2050" width="3.83203125" style="800" bestFit="1" customWidth="1"/>
    <col min="2051" max="2051" width="8.6640625" style="800" bestFit="1" customWidth="1"/>
    <col min="2052" max="2052" width="12" style="800" bestFit="1" customWidth="1"/>
    <col min="2053" max="2053" width="13.33203125" style="800" customWidth="1"/>
    <col min="2054" max="2054" width="11.33203125" style="800" customWidth="1"/>
    <col min="2055" max="2055" width="10.5" style="800" customWidth="1"/>
    <col min="2056" max="2056" width="10.1640625" style="800" customWidth="1"/>
    <col min="2057" max="2057" width="10.33203125" style="800" customWidth="1"/>
    <col min="2058" max="2058" width="11.33203125" style="800" customWidth="1"/>
    <col min="2059" max="2304" width="20.5" style="800"/>
    <col min="2305" max="2305" width="51.1640625" style="800" customWidth="1"/>
    <col min="2306" max="2306" width="3.83203125" style="800" bestFit="1" customWidth="1"/>
    <col min="2307" max="2307" width="8.6640625" style="800" bestFit="1" customWidth="1"/>
    <col min="2308" max="2308" width="12" style="800" bestFit="1" customWidth="1"/>
    <col min="2309" max="2309" width="13.33203125" style="800" customWidth="1"/>
    <col min="2310" max="2310" width="11.33203125" style="800" customWidth="1"/>
    <col min="2311" max="2311" width="10.5" style="800" customWidth="1"/>
    <col min="2312" max="2312" width="10.1640625" style="800" customWidth="1"/>
    <col min="2313" max="2313" width="10.33203125" style="800" customWidth="1"/>
    <col min="2314" max="2314" width="11.33203125" style="800" customWidth="1"/>
    <col min="2315" max="2560" width="20.5" style="800"/>
    <col min="2561" max="2561" width="51.1640625" style="800" customWidth="1"/>
    <col min="2562" max="2562" width="3.83203125" style="800" bestFit="1" customWidth="1"/>
    <col min="2563" max="2563" width="8.6640625" style="800" bestFit="1" customWidth="1"/>
    <col min="2564" max="2564" width="12" style="800" bestFit="1" customWidth="1"/>
    <col min="2565" max="2565" width="13.33203125" style="800" customWidth="1"/>
    <col min="2566" max="2566" width="11.33203125" style="800" customWidth="1"/>
    <col min="2567" max="2567" width="10.5" style="800" customWidth="1"/>
    <col min="2568" max="2568" width="10.1640625" style="800" customWidth="1"/>
    <col min="2569" max="2569" width="10.33203125" style="800" customWidth="1"/>
    <col min="2570" max="2570" width="11.33203125" style="800" customWidth="1"/>
    <col min="2571" max="2816" width="20.5" style="800"/>
    <col min="2817" max="2817" width="51.1640625" style="800" customWidth="1"/>
    <col min="2818" max="2818" width="3.83203125" style="800" bestFit="1" customWidth="1"/>
    <col min="2819" max="2819" width="8.6640625" style="800" bestFit="1" customWidth="1"/>
    <col min="2820" max="2820" width="12" style="800" bestFit="1" customWidth="1"/>
    <col min="2821" max="2821" width="13.33203125" style="800" customWidth="1"/>
    <col min="2822" max="2822" width="11.33203125" style="800" customWidth="1"/>
    <col min="2823" max="2823" width="10.5" style="800" customWidth="1"/>
    <col min="2824" max="2824" width="10.1640625" style="800" customWidth="1"/>
    <col min="2825" max="2825" width="10.33203125" style="800" customWidth="1"/>
    <col min="2826" max="2826" width="11.33203125" style="800" customWidth="1"/>
    <col min="2827" max="3072" width="20.5" style="800"/>
    <col min="3073" max="3073" width="51.1640625" style="800" customWidth="1"/>
    <col min="3074" max="3074" width="3.83203125" style="800" bestFit="1" customWidth="1"/>
    <col min="3075" max="3075" width="8.6640625" style="800" bestFit="1" customWidth="1"/>
    <col min="3076" max="3076" width="12" style="800" bestFit="1" customWidth="1"/>
    <col min="3077" max="3077" width="13.33203125" style="800" customWidth="1"/>
    <col min="3078" max="3078" width="11.33203125" style="800" customWidth="1"/>
    <col min="3079" max="3079" width="10.5" style="800" customWidth="1"/>
    <col min="3080" max="3080" width="10.1640625" style="800" customWidth="1"/>
    <col min="3081" max="3081" width="10.33203125" style="800" customWidth="1"/>
    <col min="3082" max="3082" width="11.33203125" style="800" customWidth="1"/>
    <col min="3083" max="3328" width="20.5" style="800"/>
    <col min="3329" max="3329" width="51.1640625" style="800" customWidth="1"/>
    <col min="3330" max="3330" width="3.83203125" style="800" bestFit="1" customWidth="1"/>
    <col min="3331" max="3331" width="8.6640625" style="800" bestFit="1" customWidth="1"/>
    <col min="3332" max="3332" width="12" style="800" bestFit="1" customWidth="1"/>
    <col min="3333" max="3333" width="13.33203125" style="800" customWidth="1"/>
    <col min="3334" max="3334" width="11.33203125" style="800" customWidth="1"/>
    <col min="3335" max="3335" width="10.5" style="800" customWidth="1"/>
    <col min="3336" max="3336" width="10.1640625" style="800" customWidth="1"/>
    <col min="3337" max="3337" width="10.33203125" style="800" customWidth="1"/>
    <col min="3338" max="3338" width="11.33203125" style="800" customWidth="1"/>
    <col min="3339" max="3584" width="20.5" style="800"/>
    <col min="3585" max="3585" width="51.1640625" style="800" customWidth="1"/>
    <col min="3586" max="3586" width="3.83203125" style="800" bestFit="1" customWidth="1"/>
    <col min="3587" max="3587" width="8.6640625" style="800" bestFit="1" customWidth="1"/>
    <col min="3588" max="3588" width="12" style="800" bestFit="1" customWidth="1"/>
    <col min="3589" max="3589" width="13.33203125" style="800" customWidth="1"/>
    <col min="3590" max="3590" width="11.33203125" style="800" customWidth="1"/>
    <col min="3591" max="3591" width="10.5" style="800" customWidth="1"/>
    <col min="3592" max="3592" width="10.1640625" style="800" customWidth="1"/>
    <col min="3593" max="3593" width="10.33203125" style="800" customWidth="1"/>
    <col min="3594" max="3594" width="11.33203125" style="800" customWidth="1"/>
    <col min="3595" max="3840" width="20.5" style="800"/>
    <col min="3841" max="3841" width="51.1640625" style="800" customWidth="1"/>
    <col min="3842" max="3842" width="3.83203125" style="800" bestFit="1" customWidth="1"/>
    <col min="3843" max="3843" width="8.6640625" style="800" bestFit="1" customWidth="1"/>
    <col min="3844" max="3844" width="12" style="800" bestFit="1" customWidth="1"/>
    <col min="3845" max="3845" width="13.33203125" style="800" customWidth="1"/>
    <col min="3846" max="3846" width="11.33203125" style="800" customWidth="1"/>
    <col min="3847" max="3847" width="10.5" style="800" customWidth="1"/>
    <col min="3848" max="3848" width="10.1640625" style="800" customWidth="1"/>
    <col min="3849" max="3849" width="10.33203125" style="800" customWidth="1"/>
    <col min="3850" max="3850" width="11.33203125" style="800" customWidth="1"/>
    <col min="3851" max="4096" width="20.5" style="800"/>
    <col min="4097" max="4097" width="51.1640625" style="800" customWidth="1"/>
    <col min="4098" max="4098" width="3.83203125" style="800" bestFit="1" customWidth="1"/>
    <col min="4099" max="4099" width="8.6640625" style="800" bestFit="1" customWidth="1"/>
    <col min="4100" max="4100" width="12" style="800" bestFit="1" customWidth="1"/>
    <col min="4101" max="4101" width="13.33203125" style="800" customWidth="1"/>
    <col min="4102" max="4102" width="11.33203125" style="800" customWidth="1"/>
    <col min="4103" max="4103" width="10.5" style="800" customWidth="1"/>
    <col min="4104" max="4104" width="10.1640625" style="800" customWidth="1"/>
    <col min="4105" max="4105" width="10.33203125" style="800" customWidth="1"/>
    <col min="4106" max="4106" width="11.33203125" style="800" customWidth="1"/>
    <col min="4107" max="4352" width="20.5" style="800"/>
    <col min="4353" max="4353" width="51.1640625" style="800" customWidth="1"/>
    <col min="4354" max="4354" width="3.83203125" style="800" bestFit="1" customWidth="1"/>
    <col min="4355" max="4355" width="8.6640625" style="800" bestFit="1" customWidth="1"/>
    <col min="4356" max="4356" width="12" style="800" bestFit="1" customWidth="1"/>
    <col min="4357" max="4357" width="13.33203125" style="800" customWidth="1"/>
    <col min="4358" max="4358" width="11.33203125" style="800" customWidth="1"/>
    <col min="4359" max="4359" width="10.5" style="800" customWidth="1"/>
    <col min="4360" max="4360" width="10.1640625" style="800" customWidth="1"/>
    <col min="4361" max="4361" width="10.33203125" style="800" customWidth="1"/>
    <col min="4362" max="4362" width="11.33203125" style="800" customWidth="1"/>
    <col min="4363" max="4608" width="20.5" style="800"/>
    <col min="4609" max="4609" width="51.1640625" style="800" customWidth="1"/>
    <col min="4610" max="4610" width="3.83203125" style="800" bestFit="1" customWidth="1"/>
    <col min="4611" max="4611" width="8.6640625" style="800" bestFit="1" customWidth="1"/>
    <col min="4612" max="4612" width="12" style="800" bestFit="1" customWidth="1"/>
    <col min="4613" max="4613" width="13.33203125" style="800" customWidth="1"/>
    <col min="4614" max="4614" width="11.33203125" style="800" customWidth="1"/>
    <col min="4615" max="4615" width="10.5" style="800" customWidth="1"/>
    <col min="4616" max="4616" width="10.1640625" style="800" customWidth="1"/>
    <col min="4617" max="4617" width="10.33203125" style="800" customWidth="1"/>
    <col min="4618" max="4618" width="11.33203125" style="800" customWidth="1"/>
    <col min="4619" max="4864" width="20.5" style="800"/>
    <col min="4865" max="4865" width="51.1640625" style="800" customWidth="1"/>
    <col min="4866" max="4866" width="3.83203125" style="800" bestFit="1" customWidth="1"/>
    <col min="4867" max="4867" width="8.6640625" style="800" bestFit="1" customWidth="1"/>
    <col min="4868" max="4868" width="12" style="800" bestFit="1" customWidth="1"/>
    <col min="4869" max="4869" width="13.33203125" style="800" customWidth="1"/>
    <col min="4870" max="4870" width="11.33203125" style="800" customWidth="1"/>
    <col min="4871" max="4871" width="10.5" style="800" customWidth="1"/>
    <col min="4872" max="4872" width="10.1640625" style="800" customWidth="1"/>
    <col min="4873" max="4873" width="10.33203125" style="800" customWidth="1"/>
    <col min="4874" max="4874" width="11.33203125" style="800" customWidth="1"/>
    <col min="4875" max="5120" width="20.5" style="800"/>
    <col min="5121" max="5121" width="51.1640625" style="800" customWidth="1"/>
    <col min="5122" max="5122" width="3.83203125" style="800" bestFit="1" customWidth="1"/>
    <col min="5123" max="5123" width="8.6640625" style="800" bestFit="1" customWidth="1"/>
    <col min="5124" max="5124" width="12" style="800" bestFit="1" customWidth="1"/>
    <col min="5125" max="5125" width="13.33203125" style="800" customWidth="1"/>
    <col min="5126" max="5126" width="11.33203125" style="800" customWidth="1"/>
    <col min="5127" max="5127" width="10.5" style="800" customWidth="1"/>
    <col min="5128" max="5128" width="10.1640625" style="800" customWidth="1"/>
    <col min="5129" max="5129" width="10.33203125" style="800" customWidth="1"/>
    <col min="5130" max="5130" width="11.33203125" style="800" customWidth="1"/>
    <col min="5131" max="5376" width="20.5" style="800"/>
    <col min="5377" max="5377" width="51.1640625" style="800" customWidth="1"/>
    <col min="5378" max="5378" width="3.83203125" style="800" bestFit="1" customWidth="1"/>
    <col min="5379" max="5379" width="8.6640625" style="800" bestFit="1" customWidth="1"/>
    <col min="5380" max="5380" width="12" style="800" bestFit="1" customWidth="1"/>
    <col min="5381" max="5381" width="13.33203125" style="800" customWidth="1"/>
    <col min="5382" max="5382" width="11.33203125" style="800" customWidth="1"/>
    <col min="5383" max="5383" width="10.5" style="800" customWidth="1"/>
    <col min="5384" max="5384" width="10.1640625" style="800" customWidth="1"/>
    <col min="5385" max="5385" width="10.33203125" style="800" customWidth="1"/>
    <col min="5386" max="5386" width="11.33203125" style="800" customWidth="1"/>
    <col min="5387" max="5632" width="20.5" style="800"/>
    <col min="5633" max="5633" width="51.1640625" style="800" customWidth="1"/>
    <col min="5634" max="5634" width="3.83203125" style="800" bestFit="1" customWidth="1"/>
    <col min="5635" max="5635" width="8.6640625" style="800" bestFit="1" customWidth="1"/>
    <col min="5636" max="5636" width="12" style="800" bestFit="1" customWidth="1"/>
    <col min="5637" max="5637" width="13.33203125" style="800" customWidth="1"/>
    <col min="5638" max="5638" width="11.33203125" style="800" customWidth="1"/>
    <col min="5639" max="5639" width="10.5" style="800" customWidth="1"/>
    <col min="5640" max="5640" width="10.1640625" style="800" customWidth="1"/>
    <col min="5641" max="5641" width="10.33203125" style="800" customWidth="1"/>
    <col min="5642" max="5642" width="11.33203125" style="800" customWidth="1"/>
    <col min="5643" max="5888" width="20.5" style="800"/>
    <col min="5889" max="5889" width="51.1640625" style="800" customWidth="1"/>
    <col min="5890" max="5890" width="3.83203125" style="800" bestFit="1" customWidth="1"/>
    <col min="5891" max="5891" width="8.6640625" style="800" bestFit="1" customWidth="1"/>
    <col min="5892" max="5892" width="12" style="800" bestFit="1" customWidth="1"/>
    <col min="5893" max="5893" width="13.33203125" style="800" customWidth="1"/>
    <col min="5894" max="5894" width="11.33203125" style="800" customWidth="1"/>
    <col min="5895" max="5895" width="10.5" style="800" customWidth="1"/>
    <col min="5896" max="5896" width="10.1640625" style="800" customWidth="1"/>
    <col min="5897" max="5897" width="10.33203125" style="800" customWidth="1"/>
    <col min="5898" max="5898" width="11.33203125" style="800" customWidth="1"/>
    <col min="5899" max="6144" width="20.5" style="800"/>
    <col min="6145" max="6145" width="51.1640625" style="800" customWidth="1"/>
    <col min="6146" max="6146" width="3.83203125" style="800" bestFit="1" customWidth="1"/>
    <col min="6147" max="6147" width="8.6640625" style="800" bestFit="1" customWidth="1"/>
    <col min="6148" max="6148" width="12" style="800" bestFit="1" customWidth="1"/>
    <col min="6149" max="6149" width="13.33203125" style="800" customWidth="1"/>
    <col min="6150" max="6150" width="11.33203125" style="800" customWidth="1"/>
    <col min="6151" max="6151" width="10.5" style="800" customWidth="1"/>
    <col min="6152" max="6152" width="10.1640625" style="800" customWidth="1"/>
    <col min="6153" max="6153" width="10.33203125" style="800" customWidth="1"/>
    <col min="6154" max="6154" width="11.33203125" style="800" customWidth="1"/>
    <col min="6155" max="6400" width="20.5" style="800"/>
    <col min="6401" max="6401" width="51.1640625" style="800" customWidth="1"/>
    <col min="6402" max="6402" width="3.83203125" style="800" bestFit="1" customWidth="1"/>
    <col min="6403" max="6403" width="8.6640625" style="800" bestFit="1" customWidth="1"/>
    <col min="6404" max="6404" width="12" style="800" bestFit="1" customWidth="1"/>
    <col min="6405" max="6405" width="13.33203125" style="800" customWidth="1"/>
    <col min="6406" max="6406" width="11.33203125" style="800" customWidth="1"/>
    <col min="6407" max="6407" width="10.5" style="800" customWidth="1"/>
    <col min="6408" max="6408" width="10.1640625" style="800" customWidth="1"/>
    <col min="6409" max="6409" width="10.33203125" style="800" customWidth="1"/>
    <col min="6410" max="6410" width="11.33203125" style="800" customWidth="1"/>
    <col min="6411" max="6656" width="20.5" style="800"/>
    <col min="6657" max="6657" width="51.1640625" style="800" customWidth="1"/>
    <col min="6658" max="6658" width="3.83203125" style="800" bestFit="1" customWidth="1"/>
    <col min="6659" max="6659" width="8.6640625" style="800" bestFit="1" customWidth="1"/>
    <col min="6660" max="6660" width="12" style="800" bestFit="1" customWidth="1"/>
    <col min="6661" max="6661" width="13.33203125" style="800" customWidth="1"/>
    <col min="6662" max="6662" width="11.33203125" style="800" customWidth="1"/>
    <col min="6663" max="6663" width="10.5" style="800" customWidth="1"/>
    <col min="6664" max="6664" width="10.1640625" style="800" customWidth="1"/>
    <col min="6665" max="6665" width="10.33203125" style="800" customWidth="1"/>
    <col min="6666" max="6666" width="11.33203125" style="800" customWidth="1"/>
    <col min="6667" max="6912" width="20.5" style="800"/>
    <col min="6913" max="6913" width="51.1640625" style="800" customWidth="1"/>
    <col min="6914" max="6914" width="3.83203125" style="800" bestFit="1" customWidth="1"/>
    <col min="6915" max="6915" width="8.6640625" style="800" bestFit="1" customWidth="1"/>
    <col min="6916" max="6916" width="12" style="800" bestFit="1" customWidth="1"/>
    <col min="6917" max="6917" width="13.33203125" style="800" customWidth="1"/>
    <col min="6918" max="6918" width="11.33203125" style="800" customWidth="1"/>
    <col min="6919" max="6919" width="10.5" style="800" customWidth="1"/>
    <col min="6920" max="6920" width="10.1640625" style="800" customWidth="1"/>
    <col min="6921" max="6921" width="10.33203125" style="800" customWidth="1"/>
    <col min="6922" max="6922" width="11.33203125" style="800" customWidth="1"/>
    <col min="6923" max="7168" width="20.5" style="800"/>
    <col min="7169" max="7169" width="51.1640625" style="800" customWidth="1"/>
    <col min="7170" max="7170" width="3.83203125" style="800" bestFit="1" customWidth="1"/>
    <col min="7171" max="7171" width="8.6640625" style="800" bestFit="1" customWidth="1"/>
    <col min="7172" max="7172" width="12" style="800" bestFit="1" customWidth="1"/>
    <col min="7173" max="7173" width="13.33203125" style="800" customWidth="1"/>
    <col min="7174" max="7174" width="11.33203125" style="800" customWidth="1"/>
    <col min="7175" max="7175" width="10.5" style="800" customWidth="1"/>
    <col min="7176" max="7176" width="10.1640625" style="800" customWidth="1"/>
    <col min="7177" max="7177" width="10.33203125" style="800" customWidth="1"/>
    <col min="7178" max="7178" width="11.33203125" style="800" customWidth="1"/>
    <col min="7179" max="7424" width="20.5" style="800"/>
    <col min="7425" max="7425" width="51.1640625" style="800" customWidth="1"/>
    <col min="7426" max="7426" width="3.83203125" style="800" bestFit="1" customWidth="1"/>
    <col min="7427" max="7427" width="8.6640625" style="800" bestFit="1" customWidth="1"/>
    <col min="7428" max="7428" width="12" style="800" bestFit="1" customWidth="1"/>
    <col min="7429" max="7429" width="13.33203125" style="800" customWidth="1"/>
    <col min="7430" max="7430" width="11.33203125" style="800" customWidth="1"/>
    <col min="7431" max="7431" width="10.5" style="800" customWidth="1"/>
    <col min="7432" max="7432" width="10.1640625" style="800" customWidth="1"/>
    <col min="7433" max="7433" width="10.33203125" style="800" customWidth="1"/>
    <col min="7434" max="7434" width="11.33203125" style="800" customWidth="1"/>
    <col min="7435" max="7680" width="20.5" style="800"/>
    <col min="7681" max="7681" width="51.1640625" style="800" customWidth="1"/>
    <col min="7682" max="7682" width="3.83203125" style="800" bestFit="1" customWidth="1"/>
    <col min="7683" max="7683" width="8.6640625" style="800" bestFit="1" customWidth="1"/>
    <col min="7684" max="7684" width="12" style="800" bestFit="1" customWidth="1"/>
    <col min="7685" max="7685" width="13.33203125" style="800" customWidth="1"/>
    <col min="7686" max="7686" width="11.33203125" style="800" customWidth="1"/>
    <col min="7687" max="7687" width="10.5" style="800" customWidth="1"/>
    <col min="7688" max="7688" width="10.1640625" style="800" customWidth="1"/>
    <col min="7689" max="7689" width="10.33203125" style="800" customWidth="1"/>
    <col min="7690" max="7690" width="11.33203125" style="800" customWidth="1"/>
    <col min="7691" max="7936" width="20.5" style="800"/>
    <col min="7937" max="7937" width="51.1640625" style="800" customWidth="1"/>
    <col min="7938" max="7938" width="3.83203125" style="800" bestFit="1" customWidth="1"/>
    <col min="7939" max="7939" width="8.6640625" style="800" bestFit="1" customWidth="1"/>
    <col min="7940" max="7940" width="12" style="800" bestFit="1" customWidth="1"/>
    <col min="7941" max="7941" width="13.33203125" style="800" customWidth="1"/>
    <col min="7942" max="7942" width="11.33203125" style="800" customWidth="1"/>
    <col min="7943" max="7943" width="10.5" style="800" customWidth="1"/>
    <col min="7944" max="7944" width="10.1640625" style="800" customWidth="1"/>
    <col min="7945" max="7945" width="10.33203125" style="800" customWidth="1"/>
    <col min="7946" max="7946" width="11.33203125" style="800" customWidth="1"/>
    <col min="7947" max="8192" width="20.5" style="800"/>
    <col min="8193" max="8193" width="51.1640625" style="800" customWidth="1"/>
    <col min="8194" max="8194" width="3.83203125" style="800" bestFit="1" customWidth="1"/>
    <col min="8195" max="8195" width="8.6640625" style="800" bestFit="1" customWidth="1"/>
    <col min="8196" max="8196" width="12" style="800" bestFit="1" customWidth="1"/>
    <col min="8197" max="8197" width="13.33203125" style="800" customWidth="1"/>
    <col min="8198" max="8198" width="11.33203125" style="800" customWidth="1"/>
    <col min="8199" max="8199" width="10.5" style="800" customWidth="1"/>
    <col min="8200" max="8200" width="10.1640625" style="800" customWidth="1"/>
    <col min="8201" max="8201" width="10.33203125" style="800" customWidth="1"/>
    <col min="8202" max="8202" width="11.33203125" style="800" customWidth="1"/>
    <col min="8203" max="8448" width="20.5" style="800"/>
    <col min="8449" max="8449" width="51.1640625" style="800" customWidth="1"/>
    <col min="8450" max="8450" width="3.83203125" style="800" bestFit="1" customWidth="1"/>
    <col min="8451" max="8451" width="8.6640625" style="800" bestFit="1" customWidth="1"/>
    <col min="8452" max="8452" width="12" style="800" bestFit="1" customWidth="1"/>
    <col min="8453" max="8453" width="13.33203125" style="800" customWidth="1"/>
    <col min="8454" max="8454" width="11.33203125" style="800" customWidth="1"/>
    <col min="8455" max="8455" width="10.5" style="800" customWidth="1"/>
    <col min="8456" max="8456" width="10.1640625" style="800" customWidth="1"/>
    <col min="8457" max="8457" width="10.33203125" style="800" customWidth="1"/>
    <col min="8458" max="8458" width="11.33203125" style="800" customWidth="1"/>
    <col min="8459" max="8704" width="20.5" style="800"/>
    <col min="8705" max="8705" width="51.1640625" style="800" customWidth="1"/>
    <col min="8706" max="8706" width="3.83203125" style="800" bestFit="1" customWidth="1"/>
    <col min="8707" max="8707" width="8.6640625" style="800" bestFit="1" customWidth="1"/>
    <col min="8708" max="8708" width="12" style="800" bestFit="1" customWidth="1"/>
    <col min="8709" max="8709" width="13.33203125" style="800" customWidth="1"/>
    <col min="8710" max="8710" width="11.33203125" style="800" customWidth="1"/>
    <col min="8711" max="8711" width="10.5" style="800" customWidth="1"/>
    <col min="8712" max="8712" width="10.1640625" style="800" customWidth="1"/>
    <col min="8713" max="8713" width="10.33203125" style="800" customWidth="1"/>
    <col min="8714" max="8714" width="11.33203125" style="800" customWidth="1"/>
    <col min="8715" max="8960" width="20.5" style="800"/>
    <col min="8961" max="8961" width="51.1640625" style="800" customWidth="1"/>
    <col min="8962" max="8962" width="3.83203125" style="800" bestFit="1" customWidth="1"/>
    <col min="8963" max="8963" width="8.6640625" style="800" bestFit="1" customWidth="1"/>
    <col min="8964" max="8964" width="12" style="800" bestFit="1" customWidth="1"/>
    <col min="8965" max="8965" width="13.33203125" style="800" customWidth="1"/>
    <col min="8966" max="8966" width="11.33203125" style="800" customWidth="1"/>
    <col min="8967" max="8967" width="10.5" style="800" customWidth="1"/>
    <col min="8968" max="8968" width="10.1640625" style="800" customWidth="1"/>
    <col min="8969" max="8969" width="10.33203125" style="800" customWidth="1"/>
    <col min="8970" max="8970" width="11.33203125" style="800" customWidth="1"/>
    <col min="8971" max="9216" width="20.5" style="800"/>
    <col min="9217" max="9217" width="51.1640625" style="800" customWidth="1"/>
    <col min="9218" max="9218" width="3.83203125" style="800" bestFit="1" customWidth="1"/>
    <col min="9219" max="9219" width="8.6640625" style="800" bestFit="1" customWidth="1"/>
    <col min="9220" max="9220" width="12" style="800" bestFit="1" customWidth="1"/>
    <col min="9221" max="9221" width="13.33203125" style="800" customWidth="1"/>
    <col min="9222" max="9222" width="11.33203125" style="800" customWidth="1"/>
    <col min="9223" max="9223" width="10.5" style="800" customWidth="1"/>
    <col min="9224" max="9224" width="10.1640625" style="800" customWidth="1"/>
    <col min="9225" max="9225" width="10.33203125" style="800" customWidth="1"/>
    <col min="9226" max="9226" width="11.33203125" style="800" customWidth="1"/>
    <col min="9227" max="9472" width="20.5" style="800"/>
    <col min="9473" max="9473" width="51.1640625" style="800" customWidth="1"/>
    <col min="9474" max="9474" width="3.83203125" style="800" bestFit="1" customWidth="1"/>
    <col min="9475" max="9475" width="8.6640625" style="800" bestFit="1" customWidth="1"/>
    <col min="9476" max="9476" width="12" style="800" bestFit="1" customWidth="1"/>
    <col min="9477" max="9477" width="13.33203125" style="800" customWidth="1"/>
    <col min="9478" max="9478" width="11.33203125" style="800" customWidth="1"/>
    <col min="9479" max="9479" width="10.5" style="800" customWidth="1"/>
    <col min="9480" max="9480" width="10.1640625" style="800" customWidth="1"/>
    <col min="9481" max="9481" width="10.33203125" style="800" customWidth="1"/>
    <col min="9482" max="9482" width="11.33203125" style="800" customWidth="1"/>
    <col min="9483" max="9728" width="20.5" style="800"/>
    <col min="9729" max="9729" width="51.1640625" style="800" customWidth="1"/>
    <col min="9730" max="9730" width="3.83203125" style="800" bestFit="1" customWidth="1"/>
    <col min="9731" max="9731" width="8.6640625" style="800" bestFit="1" customWidth="1"/>
    <col min="9732" max="9732" width="12" style="800" bestFit="1" customWidth="1"/>
    <col min="9733" max="9733" width="13.33203125" style="800" customWidth="1"/>
    <col min="9734" max="9734" width="11.33203125" style="800" customWidth="1"/>
    <col min="9735" max="9735" width="10.5" style="800" customWidth="1"/>
    <col min="9736" max="9736" width="10.1640625" style="800" customWidth="1"/>
    <col min="9737" max="9737" width="10.33203125" style="800" customWidth="1"/>
    <col min="9738" max="9738" width="11.33203125" style="800" customWidth="1"/>
    <col min="9739" max="9984" width="20.5" style="800"/>
    <col min="9985" max="9985" width="51.1640625" style="800" customWidth="1"/>
    <col min="9986" max="9986" width="3.83203125" style="800" bestFit="1" customWidth="1"/>
    <col min="9987" max="9987" width="8.6640625" style="800" bestFit="1" customWidth="1"/>
    <col min="9988" max="9988" width="12" style="800" bestFit="1" customWidth="1"/>
    <col min="9989" max="9989" width="13.33203125" style="800" customWidth="1"/>
    <col min="9990" max="9990" width="11.33203125" style="800" customWidth="1"/>
    <col min="9991" max="9991" width="10.5" style="800" customWidth="1"/>
    <col min="9992" max="9992" width="10.1640625" style="800" customWidth="1"/>
    <col min="9993" max="9993" width="10.33203125" style="800" customWidth="1"/>
    <col min="9994" max="9994" width="11.33203125" style="800" customWidth="1"/>
    <col min="9995" max="10240" width="20.5" style="800"/>
    <col min="10241" max="10241" width="51.1640625" style="800" customWidth="1"/>
    <col min="10242" max="10242" width="3.83203125" style="800" bestFit="1" customWidth="1"/>
    <col min="10243" max="10243" width="8.6640625" style="800" bestFit="1" customWidth="1"/>
    <col min="10244" max="10244" width="12" style="800" bestFit="1" customWidth="1"/>
    <col min="10245" max="10245" width="13.33203125" style="800" customWidth="1"/>
    <col min="10246" max="10246" width="11.33203125" style="800" customWidth="1"/>
    <col min="10247" max="10247" width="10.5" style="800" customWidth="1"/>
    <col min="10248" max="10248" width="10.1640625" style="800" customWidth="1"/>
    <col min="10249" max="10249" width="10.33203125" style="800" customWidth="1"/>
    <col min="10250" max="10250" width="11.33203125" style="800" customWidth="1"/>
    <col min="10251" max="10496" width="20.5" style="800"/>
    <col min="10497" max="10497" width="51.1640625" style="800" customWidth="1"/>
    <col min="10498" max="10498" width="3.83203125" style="800" bestFit="1" customWidth="1"/>
    <col min="10499" max="10499" width="8.6640625" style="800" bestFit="1" customWidth="1"/>
    <col min="10500" max="10500" width="12" style="800" bestFit="1" customWidth="1"/>
    <col min="10501" max="10501" width="13.33203125" style="800" customWidth="1"/>
    <col min="10502" max="10502" width="11.33203125" style="800" customWidth="1"/>
    <col min="10503" max="10503" width="10.5" style="800" customWidth="1"/>
    <col min="10504" max="10504" width="10.1640625" style="800" customWidth="1"/>
    <col min="10505" max="10505" width="10.33203125" style="800" customWidth="1"/>
    <col min="10506" max="10506" width="11.33203125" style="800" customWidth="1"/>
    <col min="10507" max="10752" width="20.5" style="800"/>
    <col min="10753" max="10753" width="51.1640625" style="800" customWidth="1"/>
    <col min="10754" max="10754" width="3.83203125" style="800" bestFit="1" customWidth="1"/>
    <col min="10755" max="10755" width="8.6640625" style="800" bestFit="1" customWidth="1"/>
    <col min="10756" max="10756" width="12" style="800" bestFit="1" customWidth="1"/>
    <col min="10757" max="10757" width="13.33203125" style="800" customWidth="1"/>
    <col min="10758" max="10758" width="11.33203125" style="800" customWidth="1"/>
    <col min="10759" max="10759" width="10.5" style="800" customWidth="1"/>
    <col min="10760" max="10760" width="10.1640625" style="800" customWidth="1"/>
    <col min="10761" max="10761" width="10.33203125" style="800" customWidth="1"/>
    <col min="10762" max="10762" width="11.33203125" style="800" customWidth="1"/>
    <col min="10763" max="11008" width="20.5" style="800"/>
    <col min="11009" max="11009" width="51.1640625" style="800" customWidth="1"/>
    <col min="11010" max="11010" width="3.83203125" style="800" bestFit="1" customWidth="1"/>
    <col min="11011" max="11011" width="8.6640625" style="800" bestFit="1" customWidth="1"/>
    <col min="11012" max="11012" width="12" style="800" bestFit="1" customWidth="1"/>
    <col min="11013" max="11013" width="13.33203125" style="800" customWidth="1"/>
    <col min="11014" max="11014" width="11.33203125" style="800" customWidth="1"/>
    <col min="11015" max="11015" width="10.5" style="800" customWidth="1"/>
    <col min="11016" max="11016" width="10.1640625" style="800" customWidth="1"/>
    <col min="11017" max="11017" width="10.33203125" style="800" customWidth="1"/>
    <col min="11018" max="11018" width="11.33203125" style="800" customWidth="1"/>
    <col min="11019" max="11264" width="20.5" style="800"/>
    <col min="11265" max="11265" width="51.1640625" style="800" customWidth="1"/>
    <col min="11266" max="11266" width="3.83203125" style="800" bestFit="1" customWidth="1"/>
    <col min="11267" max="11267" width="8.6640625" style="800" bestFit="1" customWidth="1"/>
    <col min="11268" max="11268" width="12" style="800" bestFit="1" customWidth="1"/>
    <col min="11269" max="11269" width="13.33203125" style="800" customWidth="1"/>
    <col min="11270" max="11270" width="11.33203125" style="800" customWidth="1"/>
    <col min="11271" max="11271" width="10.5" style="800" customWidth="1"/>
    <col min="11272" max="11272" width="10.1640625" style="800" customWidth="1"/>
    <col min="11273" max="11273" width="10.33203125" style="800" customWidth="1"/>
    <col min="11274" max="11274" width="11.33203125" style="800" customWidth="1"/>
    <col min="11275" max="11520" width="20.5" style="800"/>
    <col min="11521" max="11521" width="51.1640625" style="800" customWidth="1"/>
    <col min="11522" max="11522" width="3.83203125" style="800" bestFit="1" customWidth="1"/>
    <col min="11523" max="11523" width="8.6640625" style="800" bestFit="1" customWidth="1"/>
    <col min="11524" max="11524" width="12" style="800" bestFit="1" customWidth="1"/>
    <col min="11525" max="11525" width="13.33203125" style="800" customWidth="1"/>
    <col min="11526" max="11526" width="11.33203125" style="800" customWidth="1"/>
    <col min="11527" max="11527" width="10.5" style="800" customWidth="1"/>
    <col min="11528" max="11528" width="10.1640625" style="800" customWidth="1"/>
    <col min="11529" max="11529" width="10.33203125" style="800" customWidth="1"/>
    <col min="11530" max="11530" width="11.33203125" style="800" customWidth="1"/>
    <col min="11531" max="11776" width="20.5" style="800"/>
    <col min="11777" max="11777" width="51.1640625" style="800" customWidth="1"/>
    <col min="11778" max="11778" width="3.83203125" style="800" bestFit="1" customWidth="1"/>
    <col min="11779" max="11779" width="8.6640625" style="800" bestFit="1" customWidth="1"/>
    <col min="11780" max="11780" width="12" style="800" bestFit="1" customWidth="1"/>
    <col min="11781" max="11781" width="13.33203125" style="800" customWidth="1"/>
    <col min="11782" max="11782" width="11.33203125" style="800" customWidth="1"/>
    <col min="11783" max="11783" width="10.5" style="800" customWidth="1"/>
    <col min="11784" max="11784" width="10.1640625" style="800" customWidth="1"/>
    <col min="11785" max="11785" width="10.33203125" style="800" customWidth="1"/>
    <col min="11786" max="11786" width="11.33203125" style="800" customWidth="1"/>
    <col min="11787" max="12032" width="20.5" style="800"/>
    <col min="12033" max="12033" width="51.1640625" style="800" customWidth="1"/>
    <col min="12034" max="12034" width="3.83203125" style="800" bestFit="1" customWidth="1"/>
    <col min="12035" max="12035" width="8.6640625" style="800" bestFit="1" customWidth="1"/>
    <col min="12036" max="12036" width="12" style="800" bestFit="1" customWidth="1"/>
    <col min="12037" max="12037" width="13.33203125" style="800" customWidth="1"/>
    <col min="12038" max="12038" width="11.33203125" style="800" customWidth="1"/>
    <col min="12039" max="12039" width="10.5" style="800" customWidth="1"/>
    <col min="12040" max="12040" width="10.1640625" style="800" customWidth="1"/>
    <col min="12041" max="12041" width="10.33203125" style="800" customWidth="1"/>
    <col min="12042" max="12042" width="11.33203125" style="800" customWidth="1"/>
    <col min="12043" max="12288" width="20.5" style="800"/>
    <col min="12289" max="12289" width="51.1640625" style="800" customWidth="1"/>
    <col min="12290" max="12290" width="3.83203125" style="800" bestFit="1" customWidth="1"/>
    <col min="12291" max="12291" width="8.6640625" style="800" bestFit="1" customWidth="1"/>
    <col min="12292" max="12292" width="12" style="800" bestFit="1" customWidth="1"/>
    <col min="12293" max="12293" width="13.33203125" style="800" customWidth="1"/>
    <col min="12294" max="12294" width="11.33203125" style="800" customWidth="1"/>
    <col min="12295" max="12295" width="10.5" style="800" customWidth="1"/>
    <col min="12296" max="12296" width="10.1640625" style="800" customWidth="1"/>
    <col min="12297" max="12297" width="10.33203125" style="800" customWidth="1"/>
    <col min="12298" max="12298" width="11.33203125" style="800" customWidth="1"/>
    <col min="12299" max="12544" width="20.5" style="800"/>
    <col min="12545" max="12545" width="51.1640625" style="800" customWidth="1"/>
    <col min="12546" max="12546" width="3.83203125" style="800" bestFit="1" customWidth="1"/>
    <col min="12547" max="12547" width="8.6640625" style="800" bestFit="1" customWidth="1"/>
    <col min="12548" max="12548" width="12" style="800" bestFit="1" customWidth="1"/>
    <col min="12549" max="12549" width="13.33203125" style="800" customWidth="1"/>
    <col min="12550" max="12550" width="11.33203125" style="800" customWidth="1"/>
    <col min="12551" max="12551" width="10.5" style="800" customWidth="1"/>
    <col min="12552" max="12552" width="10.1640625" style="800" customWidth="1"/>
    <col min="12553" max="12553" width="10.33203125" style="800" customWidth="1"/>
    <col min="12554" max="12554" width="11.33203125" style="800" customWidth="1"/>
    <col min="12555" max="12800" width="20.5" style="800"/>
    <col min="12801" max="12801" width="51.1640625" style="800" customWidth="1"/>
    <col min="12802" max="12802" width="3.83203125" style="800" bestFit="1" customWidth="1"/>
    <col min="12803" max="12803" width="8.6640625" style="800" bestFit="1" customWidth="1"/>
    <col min="12804" max="12804" width="12" style="800" bestFit="1" customWidth="1"/>
    <col min="12805" max="12805" width="13.33203125" style="800" customWidth="1"/>
    <col min="12806" max="12806" width="11.33203125" style="800" customWidth="1"/>
    <col min="12807" max="12807" width="10.5" style="800" customWidth="1"/>
    <col min="12808" max="12808" width="10.1640625" style="800" customWidth="1"/>
    <col min="12809" max="12809" width="10.33203125" style="800" customWidth="1"/>
    <col min="12810" max="12810" width="11.33203125" style="800" customWidth="1"/>
    <col min="12811" max="13056" width="20.5" style="800"/>
    <col min="13057" max="13057" width="51.1640625" style="800" customWidth="1"/>
    <col min="13058" max="13058" width="3.83203125" style="800" bestFit="1" customWidth="1"/>
    <col min="13059" max="13059" width="8.6640625" style="800" bestFit="1" customWidth="1"/>
    <col min="13060" max="13060" width="12" style="800" bestFit="1" customWidth="1"/>
    <col min="13061" max="13061" width="13.33203125" style="800" customWidth="1"/>
    <col min="13062" max="13062" width="11.33203125" style="800" customWidth="1"/>
    <col min="13063" max="13063" width="10.5" style="800" customWidth="1"/>
    <col min="13064" max="13064" width="10.1640625" style="800" customWidth="1"/>
    <col min="13065" max="13065" width="10.33203125" style="800" customWidth="1"/>
    <col min="13066" max="13066" width="11.33203125" style="800" customWidth="1"/>
    <col min="13067" max="13312" width="20.5" style="800"/>
    <col min="13313" max="13313" width="51.1640625" style="800" customWidth="1"/>
    <col min="13314" max="13314" width="3.83203125" style="800" bestFit="1" customWidth="1"/>
    <col min="13315" max="13315" width="8.6640625" style="800" bestFit="1" customWidth="1"/>
    <col min="13316" max="13316" width="12" style="800" bestFit="1" customWidth="1"/>
    <col min="13317" max="13317" width="13.33203125" style="800" customWidth="1"/>
    <col min="13318" max="13318" width="11.33203125" style="800" customWidth="1"/>
    <col min="13319" max="13319" width="10.5" style="800" customWidth="1"/>
    <col min="13320" max="13320" width="10.1640625" style="800" customWidth="1"/>
    <col min="13321" max="13321" width="10.33203125" style="800" customWidth="1"/>
    <col min="13322" max="13322" width="11.33203125" style="800" customWidth="1"/>
    <col min="13323" max="13568" width="20.5" style="800"/>
    <col min="13569" max="13569" width="51.1640625" style="800" customWidth="1"/>
    <col min="13570" max="13570" width="3.83203125" style="800" bestFit="1" customWidth="1"/>
    <col min="13571" max="13571" width="8.6640625" style="800" bestFit="1" customWidth="1"/>
    <col min="13572" max="13572" width="12" style="800" bestFit="1" customWidth="1"/>
    <col min="13573" max="13573" width="13.33203125" style="800" customWidth="1"/>
    <col min="13574" max="13574" width="11.33203125" style="800" customWidth="1"/>
    <col min="13575" max="13575" width="10.5" style="800" customWidth="1"/>
    <col min="13576" max="13576" width="10.1640625" style="800" customWidth="1"/>
    <col min="13577" max="13577" width="10.33203125" style="800" customWidth="1"/>
    <col min="13578" max="13578" width="11.33203125" style="800" customWidth="1"/>
    <col min="13579" max="13824" width="20.5" style="800"/>
    <col min="13825" max="13825" width="51.1640625" style="800" customWidth="1"/>
    <col min="13826" max="13826" width="3.83203125" style="800" bestFit="1" customWidth="1"/>
    <col min="13827" max="13827" width="8.6640625" style="800" bestFit="1" customWidth="1"/>
    <col min="13828" max="13828" width="12" style="800" bestFit="1" customWidth="1"/>
    <col min="13829" max="13829" width="13.33203125" style="800" customWidth="1"/>
    <col min="13830" max="13830" width="11.33203125" style="800" customWidth="1"/>
    <col min="13831" max="13831" width="10.5" style="800" customWidth="1"/>
    <col min="13832" max="13832" width="10.1640625" style="800" customWidth="1"/>
    <col min="13833" max="13833" width="10.33203125" style="800" customWidth="1"/>
    <col min="13834" max="13834" width="11.33203125" style="800" customWidth="1"/>
    <col min="13835" max="14080" width="20.5" style="800"/>
    <col min="14081" max="14081" width="51.1640625" style="800" customWidth="1"/>
    <col min="14082" max="14082" width="3.83203125" style="800" bestFit="1" customWidth="1"/>
    <col min="14083" max="14083" width="8.6640625" style="800" bestFit="1" customWidth="1"/>
    <col min="14084" max="14084" width="12" style="800" bestFit="1" customWidth="1"/>
    <col min="14085" max="14085" width="13.33203125" style="800" customWidth="1"/>
    <col min="14086" max="14086" width="11.33203125" style="800" customWidth="1"/>
    <col min="14087" max="14087" width="10.5" style="800" customWidth="1"/>
    <col min="14088" max="14088" width="10.1640625" style="800" customWidth="1"/>
    <col min="14089" max="14089" width="10.33203125" style="800" customWidth="1"/>
    <col min="14090" max="14090" width="11.33203125" style="800" customWidth="1"/>
    <col min="14091" max="14336" width="20.5" style="800"/>
    <col min="14337" max="14337" width="51.1640625" style="800" customWidth="1"/>
    <col min="14338" max="14338" width="3.83203125" style="800" bestFit="1" customWidth="1"/>
    <col min="14339" max="14339" width="8.6640625" style="800" bestFit="1" customWidth="1"/>
    <col min="14340" max="14340" width="12" style="800" bestFit="1" customWidth="1"/>
    <col min="14341" max="14341" width="13.33203125" style="800" customWidth="1"/>
    <col min="14342" max="14342" width="11.33203125" style="800" customWidth="1"/>
    <col min="14343" max="14343" width="10.5" style="800" customWidth="1"/>
    <col min="14344" max="14344" width="10.1640625" style="800" customWidth="1"/>
    <col min="14345" max="14345" width="10.33203125" style="800" customWidth="1"/>
    <col min="14346" max="14346" width="11.33203125" style="800" customWidth="1"/>
    <col min="14347" max="14592" width="20.5" style="800"/>
    <col min="14593" max="14593" width="51.1640625" style="800" customWidth="1"/>
    <col min="14594" max="14594" width="3.83203125" style="800" bestFit="1" customWidth="1"/>
    <col min="14595" max="14595" width="8.6640625" style="800" bestFit="1" customWidth="1"/>
    <col min="14596" max="14596" width="12" style="800" bestFit="1" customWidth="1"/>
    <col min="14597" max="14597" width="13.33203125" style="800" customWidth="1"/>
    <col min="14598" max="14598" width="11.33203125" style="800" customWidth="1"/>
    <col min="14599" max="14599" width="10.5" style="800" customWidth="1"/>
    <col min="14600" max="14600" width="10.1640625" style="800" customWidth="1"/>
    <col min="14601" max="14601" width="10.33203125" style="800" customWidth="1"/>
    <col min="14602" max="14602" width="11.33203125" style="800" customWidth="1"/>
    <col min="14603" max="14848" width="20.5" style="800"/>
    <col min="14849" max="14849" width="51.1640625" style="800" customWidth="1"/>
    <col min="14850" max="14850" width="3.83203125" style="800" bestFit="1" customWidth="1"/>
    <col min="14851" max="14851" width="8.6640625" style="800" bestFit="1" customWidth="1"/>
    <col min="14852" max="14852" width="12" style="800" bestFit="1" customWidth="1"/>
    <col min="14853" max="14853" width="13.33203125" style="800" customWidth="1"/>
    <col min="14854" max="14854" width="11.33203125" style="800" customWidth="1"/>
    <col min="14855" max="14855" width="10.5" style="800" customWidth="1"/>
    <col min="14856" max="14856" width="10.1640625" style="800" customWidth="1"/>
    <col min="14857" max="14857" width="10.33203125" style="800" customWidth="1"/>
    <col min="14858" max="14858" width="11.33203125" style="800" customWidth="1"/>
    <col min="14859" max="15104" width="20.5" style="800"/>
    <col min="15105" max="15105" width="51.1640625" style="800" customWidth="1"/>
    <col min="15106" max="15106" width="3.83203125" style="800" bestFit="1" customWidth="1"/>
    <col min="15107" max="15107" width="8.6640625" style="800" bestFit="1" customWidth="1"/>
    <col min="15108" max="15108" width="12" style="800" bestFit="1" customWidth="1"/>
    <col min="15109" max="15109" width="13.33203125" style="800" customWidth="1"/>
    <col min="15110" max="15110" width="11.33203125" style="800" customWidth="1"/>
    <col min="15111" max="15111" width="10.5" style="800" customWidth="1"/>
    <col min="15112" max="15112" width="10.1640625" style="800" customWidth="1"/>
    <col min="15113" max="15113" width="10.33203125" style="800" customWidth="1"/>
    <col min="15114" max="15114" width="11.33203125" style="800" customWidth="1"/>
    <col min="15115" max="15360" width="20.5" style="800"/>
    <col min="15361" max="15361" width="51.1640625" style="800" customWidth="1"/>
    <col min="15362" max="15362" width="3.83203125" style="800" bestFit="1" customWidth="1"/>
    <col min="15363" max="15363" width="8.6640625" style="800" bestFit="1" customWidth="1"/>
    <col min="15364" max="15364" width="12" style="800" bestFit="1" customWidth="1"/>
    <col min="15365" max="15365" width="13.33203125" style="800" customWidth="1"/>
    <col min="15366" max="15366" width="11.33203125" style="800" customWidth="1"/>
    <col min="15367" max="15367" width="10.5" style="800" customWidth="1"/>
    <col min="15368" max="15368" width="10.1640625" style="800" customWidth="1"/>
    <col min="15369" max="15369" width="10.33203125" style="800" customWidth="1"/>
    <col min="15370" max="15370" width="11.33203125" style="800" customWidth="1"/>
    <col min="15371" max="15616" width="20.5" style="800"/>
    <col min="15617" max="15617" width="51.1640625" style="800" customWidth="1"/>
    <col min="15618" max="15618" width="3.83203125" style="800" bestFit="1" customWidth="1"/>
    <col min="15619" max="15619" width="8.6640625" style="800" bestFit="1" customWidth="1"/>
    <col min="15620" max="15620" width="12" style="800" bestFit="1" customWidth="1"/>
    <col min="15621" max="15621" width="13.33203125" style="800" customWidth="1"/>
    <col min="15622" max="15622" width="11.33203125" style="800" customWidth="1"/>
    <col min="15623" max="15623" width="10.5" style="800" customWidth="1"/>
    <col min="15624" max="15624" width="10.1640625" style="800" customWidth="1"/>
    <col min="15625" max="15625" width="10.33203125" style="800" customWidth="1"/>
    <col min="15626" max="15626" width="11.33203125" style="800" customWidth="1"/>
    <col min="15627" max="15872" width="20.5" style="800"/>
    <col min="15873" max="15873" width="51.1640625" style="800" customWidth="1"/>
    <col min="15874" max="15874" width="3.83203125" style="800" bestFit="1" customWidth="1"/>
    <col min="15875" max="15875" width="8.6640625" style="800" bestFit="1" customWidth="1"/>
    <col min="15876" max="15876" width="12" style="800" bestFit="1" customWidth="1"/>
    <col min="15877" max="15877" width="13.33203125" style="800" customWidth="1"/>
    <col min="15878" max="15878" width="11.33203125" style="800" customWidth="1"/>
    <col min="15879" max="15879" width="10.5" style="800" customWidth="1"/>
    <col min="15880" max="15880" width="10.1640625" style="800" customWidth="1"/>
    <col min="15881" max="15881" width="10.33203125" style="800" customWidth="1"/>
    <col min="15882" max="15882" width="11.33203125" style="800" customWidth="1"/>
    <col min="15883" max="16128" width="20.5" style="800"/>
    <col min="16129" max="16129" width="51.1640625" style="800" customWidth="1"/>
    <col min="16130" max="16130" width="3.83203125" style="800" bestFit="1" customWidth="1"/>
    <col min="16131" max="16131" width="8.6640625" style="800" bestFit="1" customWidth="1"/>
    <col min="16132" max="16132" width="12" style="800" bestFit="1" customWidth="1"/>
    <col min="16133" max="16133" width="13.33203125" style="800" customWidth="1"/>
    <col min="16134" max="16134" width="11.33203125" style="800" customWidth="1"/>
    <col min="16135" max="16135" width="10.5" style="800" customWidth="1"/>
    <col min="16136" max="16136" width="10.1640625" style="800" customWidth="1"/>
    <col min="16137" max="16137" width="10.33203125" style="800" customWidth="1"/>
    <col min="16138" max="16138" width="11.33203125" style="800" customWidth="1"/>
    <col min="16139" max="16384" width="20.5" style="800"/>
  </cols>
  <sheetData>
    <row r="1" spans="1:10" x14ac:dyDescent="0.15">
      <c r="A1" s="798" t="s">
        <v>301</v>
      </c>
    </row>
    <row r="2" spans="1:10" ht="12.75" customHeight="1" x14ac:dyDescent="0.15">
      <c r="A2" s="801" t="s">
        <v>302</v>
      </c>
      <c r="E2" s="1387" t="s">
        <v>1</v>
      </c>
      <c r="F2" s="1387"/>
      <c r="G2" s="1387"/>
      <c r="H2" s="1387"/>
      <c r="I2" s="1387"/>
      <c r="J2" s="802"/>
    </row>
    <row r="3" spans="1:10" ht="12.75" customHeight="1" x14ac:dyDescent="0.15">
      <c r="A3" s="800" t="s">
        <v>303</v>
      </c>
      <c r="E3" s="1387" t="s">
        <v>2</v>
      </c>
      <c r="F3" s="1387"/>
      <c r="G3" s="1387"/>
      <c r="H3" s="1387"/>
      <c r="I3" s="1387"/>
      <c r="J3" s="803"/>
    </row>
    <row r="4" spans="1:10" ht="13.5" customHeight="1" x14ac:dyDescent="0.15">
      <c r="A4" s="800" t="s">
        <v>304</v>
      </c>
      <c r="D4" s="804" t="s">
        <v>305</v>
      </c>
      <c r="E4" s="805" t="s">
        <v>3</v>
      </c>
      <c r="F4" s="803"/>
      <c r="G4" s="803"/>
      <c r="H4" s="803"/>
      <c r="I4" s="803"/>
      <c r="J4" s="803"/>
    </row>
    <row r="5" spans="1:10" ht="13.5" customHeight="1" x14ac:dyDescent="0.15">
      <c r="E5" s="1387" t="s">
        <v>4</v>
      </c>
      <c r="F5" s="1387"/>
      <c r="G5" s="1387"/>
      <c r="H5" s="1387"/>
      <c r="I5" s="1387"/>
      <c r="J5" s="803"/>
    </row>
    <row r="6" spans="1:10" ht="16.5" customHeight="1" x14ac:dyDescent="0.15">
      <c r="A6" s="800" t="s">
        <v>306</v>
      </c>
      <c r="E6" s="805"/>
      <c r="F6" s="805"/>
      <c r="G6" s="805"/>
      <c r="H6" s="805"/>
      <c r="I6" s="805"/>
      <c r="J6" s="805"/>
    </row>
    <row r="7" spans="1:10" ht="15.75" customHeight="1" x14ac:dyDescent="0.15">
      <c r="A7" s="800" t="s">
        <v>307</v>
      </c>
      <c r="E7" s="803"/>
      <c r="F7" s="1388" t="s">
        <v>6</v>
      </c>
      <c r="G7" s="1388"/>
      <c r="H7" s="1388"/>
      <c r="I7" s="1388"/>
      <c r="J7" s="803"/>
    </row>
    <row r="8" spans="1:10" ht="15" customHeight="1" x14ac:dyDescent="0.15">
      <c r="E8" s="799"/>
      <c r="F8" s="1388" t="s">
        <v>7</v>
      </c>
      <c r="G8" s="1388"/>
      <c r="H8" s="1388"/>
      <c r="I8" s="1388"/>
    </row>
    <row r="9" spans="1:10" ht="15" customHeight="1" x14ac:dyDescent="0.15">
      <c r="E9" s="799"/>
      <c r="F9" s="1388" t="s">
        <v>308</v>
      </c>
      <c r="G9" s="1388"/>
      <c r="H9" s="1388"/>
      <c r="I9" s="1388"/>
    </row>
    <row r="10" spans="1:10" x14ac:dyDescent="0.15">
      <c r="E10" s="799"/>
    </row>
    <row r="11" spans="1:10" x14ac:dyDescent="0.15">
      <c r="A11" s="1389" t="s">
        <v>309</v>
      </c>
      <c r="B11" s="1389"/>
      <c r="C11" s="1389"/>
      <c r="D11" s="1389"/>
      <c r="E11" s="1389"/>
      <c r="F11" s="1389"/>
      <c r="G11" s="1389"/>
      <c r="H11" s="1389"/>
      <c r="I11" s="1389"/>
      <c r="J11" s="1389"/>
    </row>
    <row r="12" spans="1:10" x14ac:dyDescent="0.15">
      <c r="A12" s="1389" t="s">
        <v>310</v>
      </c>
      <c r="B12" s="1389"/>
      <c r="C12" s="1389"/>
      <c r="D12" s="1389"/>
      <c r="E12" s="1389"/>
      <c r="F12" s="1389"/>
      <c r="G12" s="1389"/>
      <c r="H12" s="1389"/>
      <c r="I12" s="1389"/>
      <c r="J12" s="1389"/>
    </row>
    <row r="13" spans="1:10" x14ac:dyDescent="0.15">
      <c r="A13" s="806"/>
      <c r="B13" s="806"/>
      <c r="C13" s="806"/>
      <c r="D13" s="806"/>
      <c r="E13" s="806"/>
      <c r="F13" s="806"/>
      <c r="G13" s="806"/>
      <c r="H13" s="806"/>
      <c r="I13" s="806"/>
      <c r="J13" s="807"/>
    </row>
    <row r="14" spans="1:10" ht="14" thickBot="1" x14ac:dyDescent="0.2">
      <c r="J14" s="808" t="s">
        <v>311</v>
      </c>
    </row>
    <row r="15" spans="1:10" x14ac:dyDescent="0.15">
      <c r="A15" s="809" t="s">
        <v>312</v>
      </c>
      <c r="B15" s="810" t="s">
        <v>313</v>
      </c>
      <c r="C15" s="1390" t="s">
        <v>31</v>
      </c>
      <c r="D15" s="810" t="s">
        <v>314</v>
      </c>
      <c r="E15" s="1393" t="s">
        <v>315</v>
      </c>
      <c r="F15" s="1396" t="s">
        <v>316</v>
      </c>
      <c r="G15" s="1399" t="s">
        <v>317</v>
      </c>
      <c r="H15" s="1393" t="s">
        <v>318</v>
      </c>
      <c r="I15" s="1404" t="s">
        <v>319</v>
      </c>
      <c r="J15" s="1407" t="s">
        <v>320</v>
      </c>
    </row>
    <row r="16" spans="1:10" x14ac:dyDescent="0.15">
      <c r="A16" s="811" t="s">
        <v>321</v>
      </c>
      <c r="B16" s="812"/>
      <c r="C16" s="1391"/>
      <c r="D16" s="813" t="s">
        <v>322</v>
      </c>
      <c r="E16" s="1394"/>
      <c r="F16" s="1397"/>
      <c r="G16" s="1400"/>
      <c r="H16" s="1402"/>
      <c r="I16" s="1405"/>
      <c r="J16" s="1408"/>
    </row>
    <row r="17" spans="1:10" x14ac:dyDescent="0.15">
      <c r="A17" s="811" t="s">
        <v>323</v>
      </c>
      <c r="B17" s="812"/>
      <c r="C17" s="1391"/>
      <c r="D17" s="812" t="s">
        <v>324</v>
      </c>
      <c r="E17" s="1394"/>
      <c r="F17" s="1397"/>
      <c r="G17" s="1400"/>
      <c r="H17" s="1402"/>
      <c r="I17" s="1405"/>
      <c r="J17" s="1408"/>
    </row>
    <row r="18" spans="1:10" x14ac:dyDescent="0.15">
      <c r="A18" s="814"/>
      <c r="B18" s="815"/>
      <c r="C18" s="1392"/>
      <c r="D18" s="816" t="s">
        <v>325</v>
      </c>
      <c r="E18" s="1395"/>
      <c r="F18" s="1398"/>
      <c r="G18" s="1401"/>
      <c r="H18" s="1403"/>
      <c r="I18" s="1406"/>
      <c r="J18" s="1409"/>
    </row>
    <row r="19" spans="1:10" s="799" customFormat="1" x14ac:dyDescent="0.15">
      <c r="A19" s="817">
        <v>0</v>
      </c>
      <c r="B19" s="818">
        <v>1</v>
      </c>
      <c r="C19" s="818" t="s">
        <v>326</v>
      </c>
      <c r="D19" s="818">
        <v>3</v>
      </c>
      <c r="E19" s="819">
        <v>4</v>
      </c>
      <c r="F19" s="820">
        <v>5</v>
      </c>
      <c r="G19" s="821">
        <v>6</v>
      </c>
      <c r="H19" s="818">
        <v>7</v>
      </c>
      <c r="I19" s="818">
        <v>8</v>
      </c>
      <c r="J19" s="822">
        <v>9</v>
      </c>
    </row>
    <row r="20" spans="1:10" x14ac:dyDescent="0.15">
      <c r="A20" s="823"/>
      <c r="B20" s="818"/>
      <c r="C20" s="824"/>
      <c r="D20" s="818"/>
      <c r="E20" s="825"/>
      <c r="F20" s="826"/>
      <c r="G20" s="827"/>
      <c r="H20" s="824"/>
      <c r="I20" s="824"/>
      <c r="J20" s="828"/>
    </row>
    <row r="21" spans="1:10" ht="18.75" customHeight="1" x14ac:dyDescent="0.15">
      <c r="A21" s="1421" t="s">
        <v>327</v>
      </c>
      <c r="B21" s="1422"/>
      <c r="C21" s="1422"/>
      <c r="D21" s="1422"/>
      <c r="E21" s="1422"/>
      <c r="F21" s="1422"/>
      <c r="G21" s="1422"/>
      <c r="H21" s="1422"/>
      <c r="I21" s="1422"/>
      <c r="J21" s="1423"/>
    </row>
    <row r="22" spans="1:10" ht="17.25" customHeight="1" x14ac:dyDescent="0.15">
      <c r="A22" s="1413" t="s">
        <v>328</v>
      </c>
      <c r="B22" s="829" t="s">
        <v>72</v>
      </c>
      <c r="C22" s="830">
        <f>D22+E22+F22+G22+H22+I22+J22+0.01</f>
        <v>142458.57</v>
      </c>
      <c r="D22" s="830">
        <f>D24+D28-0.01</f>
        <v>48328.01</v>
      </c>
      <c r="E22" s="831">
        <f t="shared" ref="E22:J23" si="0">E24+E28</f>
        <v>36704.42</v>
      </c>
      <c r="F22" s="832">
        <f t="shared" si="0"/>
        <v>23482.19</v>
      </c>
      <c r="G22" s="833">
        <f t="shared" si="0"/>
        <v>14891.27</v>
      </c>
      <c r="H22" s="830">
        <f t="shared" si="0"/>
        <v>10778.48</v>
      </c>
      <c r="I22" s="830">
        <f t="shared" si="0"/>
        <v>8274.19</v>
      </c>
      <c r="J22" s="834">
        <f t="shared" si="0"/>
        <v>0</v>
      </c>
    </row>
    <row r="23" spans="1:10" ht="15.75" customHeight="1" thickBot="1" x14ac:dyDescent="0.2">
      <c r="A23" s="1414"/>
      <c r="B23" s="835" t="s">
        <v>73</v>
      </c>
      <c r="C23" s="836">
        <f>D23+E23+F23+G23+H23+I23+J23+0.01</f>
        <v>131576.38</v>
      </c>
      <c r="D23" s="836">
        <f>D25+D29-0.01</f>
        <v>39969.01</v>
      </c>
      <c r="E23" s="837">
        <f t="shared" si="0"/>
        <v>37691.42</v>
      </c>
      <c r="F23" s="838">
        <f t="shared" si="0"/>
        <v>19972</v>
      </c>
      <c r="G23" s="839">
        <f t="shared" si="0"/>
        <v>14891.27</v>
      </c>
      <c r="H23" s="836">
        <f t="shared" si="0"/>
        <v>10778.48</v>
      </c>
      <c r="I23" s="836">
        <f t="shared" si="0"/>
        <v>8274.19</v>
      </c>
      <c r="J23" s="840">
        <f t="shared" si="0"/>
        <v>0</v>
      </c>
    </row>
    <row r="24" spans="1:10" ht="14.25" customHeight="1" x14ac:dyDescent="0.15">
      <c r="A24" s="841" t="s">
        <v>329</v>
      </c>
      <c r="B24" s="842" t="s">
        <v>72</v>
      </c>
      <c r="C24" s="843">
        <f t="shared" ref="C24:C35" si="1">D24+E24+F24+G24+H24+I24+J24</f>
        <v>8523.19</v>
      </c>
      <c r="D24" s="843">
        <f>D26</f>
        <v>0</v>
      </c>
      <c r="E24" s="844">
        <f t="shared" ref="E24:J25" si="2">E26</f>
        <v>0</v>
      </c>
      <c r="F24" s="845">
        <f t="shared" si="2"/>
        <v>8523.19</v>
      </c>
      <c r="G24" s="846">
        <f t="shared" si="2"/>
        <v>0</v>
      </c>
      <c r="H24" s="843">
        <f t="shared" si="2"/>
        <v>0</v>
      </c>
      <c r="I24" s="843">
        <f t="shared" si="2"/>
        <v>0</v>
      </c>
      <c r="J24" s="847">
        <f t="shared" si="2"/>
        <v>0</v>
      </c>
    </row>
    <row r="25" spans="1:10" ht="14.25" customHeight="1" x14ac:dyDescent="0.15">
      <c r="A25" s="848" t="s">
        <v>330</v>
      </c>
      <c r="B25" s="849" t="s">
        <v>73</v>
      </c>
      <c r="C25" s="850">
        <f t="shared" si="1"/>
        <v>0</v>
      </c>
      <c r="D25" s="850">
        <f>D27</f>
        <v>0</v>
      </c>
      <c r="E25" s="851">
        <f t="shared" si="2"/>
        <v>0</v>
      </c>
      <c r="F25" s="852">
        <f t="shared" si="2"/>
        <v>0</v>
      </c>
      <c r="G25" s="853">
        <f t="shared" si="2"/>
        <v>0</v>
      </c>
      <c r="H25" s="850">
        <f t="shared" si="2"/>
        <v>0</v>
      </c>
      <c r="I25" s="850">
        <f t="shared" si="2"/>
        <v>0</v>
      </c>
      <c r="J25" s="854">
        <f t="shared" si="2"/>
        <v>0</v>
      </c>
    </row>
    <row r="26" spans="1:10" ht="15.75" customHeight="1" x14ac:dyDescent="0.15">
      <c r="A26" s="1415" t="s">
        <v>331</v>
      </c>
      <c r="B26" s="842" t="s">
        <v>72</v>
      </c>
      <c r="C26" s="855">
        <f t="shared" si="1"/>
        <v>8523.19</v>
      </c>
      <c r="D26" s="855">
        <f t="shared" ref="D26:J27" si="3">D42+D75+D106</f>
        <v>0</v>
      </c>
      <c r="E26" s="856">
        <f t="shared" si="3"/>
        <v>0</v>
      </c>
      <c r="F26" s="857">
        <f t="shared" si="3"/>
        <v>8523.19</v>
      </c>
      <c r="G26" s="858">
        <f t="shared" si="3"/>
        <v>0</v>
      </c>
      <c r="H26" s="855">
        <f t="shared" si="3"/>
        <v>0</v>
      </c>
      <c r="I26" s="855">
        <f t="shared" si="3"/>
        <v>0</v>
      </c>
      <c r="J26" s="859">
        <f t="shared" si="3"/>
        <v>0</v>
      </c>
    </row>
    <row r="27" spans="1:10" ht="16.5" customHeight="1" thickBot="1" x14ac:dyDescent="0.2">
      <c r="A27" s="1424"/>
      <c r="B27" s="860" t="s">
        <v>73</v>
      </c>
      <c r="C27" s="861">
        <f t="shared" si="1"/>
        <v>0</v>
      </c>
      <c r="D27" s="861">
        <f t="shared" si="3"/>
        <v>0</v>
      </c>
      <c r="E27" s="862">
        <f t="shared" si="3"/>
        <v>0</v>
      </c>
      <c r="F27" s="863">
        <f t="shared" si="3"/>
        <v>0</v>
      </c>
      <c r="G27" s="864">
        <f t="shared" si="3"/>
        <v>0</v>
      </c>
      <c r="H27" s="861">
        <f t="shared" si="3"/>
        <v>0</v>
      </c>
      <c r="I27" s="861">
        <f t="shared" si="3"/>
        <v>0</v>
      </c>
      <c r="J27" s="865">
        <f t="shared" si="3"/>
        <v>0</v>
      </c>
    </row>
    <row r="28" spans="1:10" ht="16.5" customHeight="1" x14ac:dyDescent="0.15">
      <c r="A28" s="866" t="s">
        <v>332</v>
      </c>
      <c r="B28" s="842" t="s">
        <v>72</v>
      </c>
      <c r="C28" s="843">
        <f t="shared" si="1"/>
        <v>133935.38</v>
      </c>
      <c r="D28" s="843">
        <f>D30</f>
        <v>48328.02</v>
      </c>
      <c r="E28" s="844">
        <f t="shared" ref="E28:J29" si="4">E30</f>
        <v>36704.42</v>
      </c>
      <c r="F28" s="845">
        <f t="shared" si="4"/>
        <v>14959</v>
      </c>
      <c r="G28" s="846">
        <f t="shared" si="4"/>
        <v>14891.27</v>
      </c>
      <c r="H28" s="843">
        <f t="shared" si="4"/>
        <v>10778.48</v>
      </c>
      <c r="I28" s="843">
        <f t="shared" si="4"/>
        <v>8274.19</v>
      </c>
      <c r="J28" s="847">
        <f t="shared" si="4"/>
        <v>0</v>
      </c>
    </row>
    <row r="29" spans="1:10" ht="15.75" customHeight="1" x14ac:dyDescent="0.15">
      <c r="A29" s="867" t="s">
        <v>330</v>
      </c>
      <c r="B29" s="868" t="s">
        <v>73</v>
      </c>
      <c r="C29" s="869">
        <f t="shared" si="1"/>
        <v>131576.38</v>
      </c>
      <c r="D29" s="869">
        <f>D31</f>
        <v>39969.019999999997</v>
      </c>
      <c r="E29" s="870">
        <f t="shared" si="4"/>
        <v>37691.42</v>
      </c>
      <c r="F29" s="871">
        <f t="shared" si="4"/>
        <v>19972</v>
      </c>
      <c r="G29" s="872">
        <f t="shared" si="4"/>
        <v>14891.27</v>
      </c>
      <c r="H29" s="869">
        <f t="shared" si="4"/>
        <v>10778.48</v>
      </c>
      <c r="I29" s="869">
        <f t="shared" si="4"/>
        <v>8274.19</v>
      </c>
      <c r="J29" s="873">
        <f t="shared" si="4"/>
        <v>0</v>
      </c>
    </row>
    <row r="30" spans="1:10" ht="17.25" customHeight="1" x14ac:dyDescent="0.15">
      <c r="A30" s="874" t="s">
        <v>333</v>
      </c>
      <c r="B30" s="875" t="s">
        <v>72</v>
      </c>
      <c r="C30" s="855">
        <f t="shared" si="1"/>
        <v>133935.38</v>
      </c>
      <c r="D30" s="855">
        <f>D32+D34</f>
        <v>48328.02</v>
      </c>
      <c r="E30" s="856">
        <f t="shared" ref="E30:J31" si="5">E32+E34</f>
        <v>36704.42</v>
      </c>
      <c r="F30" s="857">
        <f t="shared" si="5"/>
        <v>14959</v>
      </c>
      <c r="G30" s="858">
        <f t="shared" si="5"/>
        <v>14891.27</v>
      </c>
      <c r="H30" s="855">
        <f t="shared" si="5"/>
        <v>10778.48</v>
      </c>
      <c r="I30" s="855">
        <f t="shared" si="5"/>
        <v>8274.19</v>
      </c>
      <c r="J30" s="859">
        <f t="shared" si="5"/>
        <v>0</v>
      </c>
    </row>
    <row r="31" spans="1:10" ht="17.25" customHeight="1" x14ac:dyDescent="0.15">
      <c r="A31" s="867" t="s">
        <v>330</v>
      </c>
      <c r="B31" s="876" t="s">
        <v>73</v>
      </c>
      <c r="C31" s="877">
        <f t="shared" si="1"/>
        <v>131576.38</v>
      </c>
      <c r="D31" s="877">
        <f>D33+D35</f>
        <v>39969.019999999997</v>
      </c>
      <c r="E31" s="878">
        <f t="shared" si="5"/>
        <v>37691.42</v>
      </c>
      <c r="F31" s="879">
        <f t="shared" si="5"/>
        <v>19972</v>
      </c>
      <c r="G31" s="880">
        <f t="shared" si="5"/>
        <v>14891.27</v>
      </c>
      <c r="H31" s="877">
        <f t="shared" si="5"/>
        <v>10778.48</v>
      </c>
      <c r="I31" s="877">
        <f t="shared" si="5"/>
        <v>8274.19</v>
      </c>
      <c r="J31" s="881">
        <f t="shared" si="5"/>
        <v>0</v>
      </c>
    </row>
    <row r="32" spans="1:10" ht="15.75" customHeight="1" x14ac:dyDescent="0.15">
      <c r="A32" s="1425" t="s">
        <v>334</v>
      </c>
      <c r="B32" s="875" t="s">
        <v>72</v>
      </c>
      <c r="C32" s="882">
        <f t="shared" si="1"/>
        <v>46955</v>
      </c>
      <c r="D32" s="882">
        <f t="shared" ref="D32:J33" si="6">D54+D87+D114</f>
        <v>27056</v>
      </c>
      <c r="E32" s="883">
        <f t="shared" si="6"/>
        <v>6356</v>
      </c>
      <c r="F32" s="884">
        <f t="shared" si="6"/>
        <v>13543</v>
      </c>
      <c r="G32" s="885">
        <f t="shared" si="6"/>
        <v>0</v>
      </c>
      <c r="H32" s="882">
        <f t="shared" si="6"/>
        <v>0</v>
      </c>
      <c r="I32" s="882">
        <f t="shared" si="6"/>
        <v>0</v>
      </c>
      <c r="J32" s="886">
        <f t="shared" si="6"/>
        <v>0</v>
      </c>
    </row>
    <row r="33" spans="1:10" ht="14.25" customHeight="1" x14ac:dyDescent="0.15">
      <c r="A33" s="1426"/>
      <c r="B33" s="887" t="s">
        <v>73</v>
      </c>
      <c r="C33" s="888">
        <f t="shared" si="1"/>
        <v>44596</v>
      </c>
      <c r="D33" s="888">
        <f t="shared" si="6"/>
        <v>18697</v>
      </c>
      <c r="E33" s="889">
        <f t="shared" si="6"/>
        <v>7343</v>
      </c>
      <c r="F33" s="890">
        <f t="shared" si="6"/>
        <v>18556</v>
      </c>
      <c r="G33" s="891">
        <f t="shared" si="6"/>
        <v>0</v>
      </c>
      <c r="H33" s="888">
        <f t="shared" si="6"/>
        <v>0</v>
      </c>
      <c r="I33" s="888">
        <f t="shared" si="6"/>
        <v>0</v>
      </c>
      <c r="J33" s="892">
        <f t="shared" si="6"/>
        <v>0</v>
      </c>
    </row>
    <row r="34" spans="1:10" ht="14.25" customHeight="1" x14ac:dyDescent="0.15">
      <c r="A34" s="1427" t="s">
        <v>335</v>
      </c>
      <c r="B34" s="875" t="s">
        <v>72</v>
      </c>
      <c r="C34" s="893">
        <f t="shared" si="1"/>
        <v>86980.38</v>
      </c>
      <c r="D34" s="893">
        <f t="shared" ref="D34:J35" si="7">D64+D95+D116</f>
        <v>21272.02</v>
      </c>
      <c r="E34" s="894">
        <f t="shared" si="7"/>
        <v>30348.42</v>
      </c>
      <c r="F34" s="895">
        <f t="shared" si="7"/>
        <v>1416</v>
      </c>
      <c r="G34" s="896">
        <f t="shared" si="7"/>
        <v>14891.27</v>
      </c>
      <c r="H34" s="893">
        <f t="shared" si="7"/>
        <v>10778.48</v>
      </c>
      <c r="I34" s="893">
        <f t="shared" si="7"/>
        <v>8274.19</v>
      </c>
      <c r="J34" s="897">
        <f t="shared" si="7"/>
        <v>0</v>
      </c>
    </row>
    <row r="35" spans="1:10" ht="15" customHeight="1" thickBot="1" x14ac:dyDescent="0.2">
      <c r="A35" s="1428"/>
      <c r="B35" s="898" t="s">
        <v>73</v>
      </c>
      <c r="C35" s="899">
        <f t="shared" si="1"/>
        <v>86980.38</v>
      </c>
      <c r="D35" s="899">
        <f t="shared" si="7"/>
        <v>21272.02</v>
      </c>
      <c r="E35" s="900">
        <f t="shared" si="7"/>
        <v>30348.42</v>
      </c>
      <c r="F35" s="901">
        <f t="shared" si="7"/>
        <v>1416</v>
      </c>
      <c r="G35" s="902">
        <f t="shared" si="7"/>
        <v>14891.27</v>
      </c>
      <c r="H35" s="899">
        <f t="shared" si="7"/>
        <v>10778.48</v>
      </c>
      <c r="I35" s="899">
        <f t="shared" si="7"/>
        <v>8274.19</v>
      </c>
      <c r="J35" s="903">
        <f t="shared" si="7"/>
        <v>0</v>
      </c>
    </row>
    <row r="36" spans="1:10" ht="13.5" customHeight="1" x14ac:dyDescent="0.15">
      <c r="A36" s="1429"/>
      <c r="B36" s="1430"/>
      <c r="C36" s="1430"/>
      <c r="D36" s="1430"/>
      <c r="E36" s="1430"/>
      <c r="F36" s="1430"/>
      <c r="G36" s="1430"/>
      <c r="H36" s="1430"/>
      <c r="I36" s="1430"/>
      <c r="J36" s="1431"/>
    </row>
    <row r="37" spans="1:10" s="904" customFormat="1" ht="21.75" customHeight="1" x14ac:dyDescent="0.15">
      <c r="A37" s="1410" t="s">
        <v>336</v>
      </c>
      <c r="B37" s="1411"/>
      <c r="C37" s="1411"/>
      <c r="D37" s="1411"/>
      <c r="E37" s="1411"/>
      <c r="F37" s="1411"/>
      <c r="G37" s="1411"/>
      <c r="H37" s="1411"/>
      <c r="I37" s="1411"/>
      <c r="J37" s="1412"/>
    </row>
    <row r="38" spans="1:10" x14ac:dyDescent="0.15">
      <c r="A38" s="1413" t="s">
        <v>328</v>
      </c>
      <c r="B38" s="875" t="s">
        <v>72</v>
      </c>
      <c r="C38" s="905">
        <f>D38+E38+F38+G38+H38+I38+J38</f>
        <v>35152</v>
      </c>
      <c r="D38" s="905">
        <f>D40+D50</f>
        <v>27056</v>
      </c>
      <c r="E38" s="906">
        <f t="shared" ref="E38:J39" si="8">E40+E50</f>
        <v>6356</v>
      </c>
      <c r="F38" s="832">
        <f t="shared" si="8"/>
        <v>1740</v>
      </c>
      <c r="G38" s="907">
        <f t="shared" si="8"/>
        <v>0</v>
      </c>
      <c r="H38" s="905">
        <f t="shared" si="8"/>
        <v>0</v>
      </c>
      <c r="I38" s="905">
        <f t="shared" si="8"/>
        <v>0</v>
      </c>
      <c r="J38" s="908">
        <f t="shared" si="8"/>
        <v>0</v>
      </c>
    </row>
    <row r="39" spans="1:10" ht="14" thickBot="1" x14ac:dyDescent="0.2">
      <c r="A39" s="1414"/>
      <c r="B39" s="909" t="s">
        <v>73</v>
      </c>
      <c r="C39" s="910">
        <f>D39+E39+F39+G39+H39+I39+J39</f>
        <v>35152</v>
      </c>
      <c r="D39" s="910">
        <f>D41+D51</f>
        <v>18697</v>
      </c>
      <c r="E39" s="911">
        <f t="shared" si="8"/>
        <v>7343</v>
      </c>
      <c r="F39" s="912">
        <f t="shared" si="8"/>
        <v>9112</v>
      </c>
      <c r="G39" s="913">
        <f t="shared" si="8"/>
        <v>0</v>
      </c>
      <c r="H39" s="910">
        <f t="shared" si="8"/>
        <v>0</v>
      </c>
      <c r="I39" s="910">
        <f t="shared" si="8"/>
        <v>0</v>
      </c>
      <c r="J39" s="914">
        <f t="shared" si="8"/>
        <v>0</v>
      </c>
    </row>
    <row r="40" spans="1:10" x14ac:dyDescent="0.15">
      <c r="A40" s="841" t="s">
        <v>329</v>
      </c>
      <c r="B40" s="842" t="s">
        <v>72</v>
      </c>
      <c r="C40" s="915">
        <f>C42</f>
        <v>0</v>
      </c>
      <c r="D40" s="915">
        <f t="shared" ref="D40:J41" si="9">D42</f>
        <v>0</v>
      </c>
      <c r="E40" s="916">
        <f t="shared" si="9"/>
        <v>0</v>
      </c>
      <c r="F40" s="917">
        <f t="shared" si="9"/>
        <v>0</v>
      </c>
      <c r="G40" s="918">
        <f t="shared" si="9"/>
        <v>0</v>
      </c>
      <c r="H40" s="915">
        <f t="shared" si="9"/>
        <v>0</v>
      </c>
      <c r="I40" s="915">
        <f t="shared" si="9"/>
        <v>0</v>
      </c>
      <c r="J40" s="919">
        <f t="shared" si="9"/>
        <v>0</v>
      </c>
    </row>
    <row r="41" spans="1:10" x14ac:dyDescent="0.15">
      <c r="A41" s="848" t="s">
        <v>330</v>
      </c>
      <c r="B41" s="849" t="s">
        <v>73</v>
      </c>
      <c r="C41" s="920">
        <f>C43</f>
        <v>0</v>
      </c>
      <c r="D41" s="920">
        <f>D43</f>
        <v>0</v>
      </c>
      <c r="E41" s="921">
        <f t="shared" si="9"/>
        <v>0</v>
      </c>
      <c r="F41" s="922">
        <f t="shared" si="9"/>
        <v>0</v>
      </c>
      <c r="G41" s="923">
        <f t="shared" si="9"/>
        <v>0</v>
      </c>
      <c r="H41" s="920">
        <f t="shared" si="9"/>
        <v>0</v>
      </c>
      <c r="I41" s="920">
        <f t="shared" si="9"/>
        <v>0</v>
      </c>
      <c r="J41" s="924">
        <f t="shared" si="9"/>
        <v>0</v>
      </c>
    </row>
    <row r="42" spans="1:10" x14ac:dyDescent="0.15">
      <c r="A42" s="1415" t="s">
        <v>331</v>
      </c>
      <c r="B42" s="842" t="s">
        <v>72</v>
      </c>
      <c r="C42" s="915">
        <f t="shared" ref="C42" si="10">D42+E42+F42+G42+H42+I42+J42</f>
        <v>0</v>
      </c>
      <c r="D42" s="915">
        <f>D44+D46+D48</f>
        <v>0</v>
      </c>
      <c r="E42" s="916">
        <f t="shared" ref="E42:J43" si="11">E44+E46+E48</f>
        <v>0</v>
      </c>
      <c r="F42" s="917">
        <f t="shared" si="11"/>
        <v>0</v>
      </c>
      <c r="G42" s="918">
        <f t="shared" si="11"/>
        <v>0</v>
      </c>
      <c r="H42" s="915">
        <f t="shared" si="11"/>
        <v>0</v>
      </c>
      <c r="I42" s="915">
        <f t="shared" si="11"/>
        <v>0</v>
      </c>
      <c r="J42" s="925">
        <f t="shared" si="11"/>
        <v>0</v>
      </c>
    </row>
    <row r="43" spans="1:10" x14ac:dyDescent="0.15">
      <c r="A43" s="1416"/>
      <c r="B43" s="849" t="s">
        <v>73</v>
      </c>
      <c r="C43" s="920">
        <f>D43+E43+F43+G43+H43+I43+J43</f>
        <v>0</v>
      </c>
      <c r="D43" s="920">
        <f>D45+D47+D49</f>
        <v>0</v>
      </c>
      <c r="E43" s="921">
        <f t="shared" si="11"/>
        <v>0</v>
      </c>
      <c r="F43" s="922">
        <f t="shared" si="11"/>
        <v>0</v>
      </c>
      <c r="G43" s="923">
        <f t="shared" si="11"/>
        <v>0</v>
      </c>
      <c r="H43" s="920">
        <f t="shared" si="11"/>
        <v>0</v>
      </c>
      <c r="I43" s="920">
        <f t="shared" si="11"/>
        <v>0</v>
      </c>
      <c r="J43" s="924">
        <f t="shared" si="11"/>
        <v>0</v>
      </c>
    </row>
    <row r="44" spans="1:10" x14ac:dyDescent="0.15">
      <c r="A44" s="926"/>
      <c r="B44" s="842" t="s">
        <v>72</v>
      </c>
      <c r="C44" s="882">
        <f t="shared" ref="C44:C49" si="12">D44+E44+F44+G44+H44+I44+J44</f>
        <v>0</v>
      </c>
      <c r="D44" s="882"/>
      <c r="E44" s="883"/>
      <c r="F44" s="884"/>
      <c r="G44" s="885"/>
      <c r="H44" s="882"/>
      <c r="I44" s="882"/>
      <c r="J44" s="927"/>
    </row>
    <row r="45" spans="1:10" x14ac:dyDescent="0.15">
      <c r="A45" s="928"/>
      <c r="B45" s="849" t="s">
        <v>73</v>
      </c>
      <c r="C45" s="929">
        <f t="shared" si="12"/>
        <v>0</v>
      </c>
      <c r="D45" s="929"/>
      <c r="E45" s="930"/>
      <c r="F45" s="931"/>
      <c r="G45" s="932"/>
      <c r="H45" s="929"/>
      <c r="I45" s="929"/>
      <c r="J45" s="933"/>
    </row>
    <row r="46" spans="1:10" hidden="1" x14ac:dyDescent="0.15">
      <c r="A46" s="926"/>
      <c r="B46" s="842" t="s">
        <v>72</v>
      </c>
      <c r="C46" s="882">
        <f t="shared" si="12"/>
        <v>0</v>
      </c>
      <c r="D46" s="882"/>
      <c r="E46" s="883"/>
      <c r="F46" s="884"/>
      <c r="G46" s="885"/>
      <c r="H46" s="882"/>
      <c r="I46" s="882"/>
      <c r="J46" s="927"/>
    </row>
    <row r="47" spans="1:10" hidden="1" x14ac:dyDescent="0.15">
      <c r="A47" s="928"/>
      <c r="B47" s="849" t="s">
        <v>73</v>
      </c>
      <c r="C47" s="929">
        <f t="shared" si="12"/>
        <v>0</v>
      </c>
      <c r="D47" s="929"/>
      <c r="E47" s="930"/>
      <c r="F47" s="931"/>
      <c r="G47" s="932"/>
      <c r="H47" s="929"/>
      <c r="I47" s="929"/>
      <c r="J47" s="933"/>
    </row>
    <row r="48" spans="1:10" hidden="1" x14ac:dyDescent="0.15">
      <c r="A48" s="926"/>
      <c r="B48" s="842" t="s">
        <v>72</v>
      </c>
      <c r="C48" s="882">
        <f t="shared" si="12"/>
        <v>0</v>
      </c>
      <c r="D48" s="882"/>
      <c r="E48" s="883"/>
      <c r="F48" s="884"/>
      <c r="G48" s="885"/>
      <c r="H48" s="882"/>
      <c r="I48" s="882"/>
      <c r="J48" s="927"/>
    </row>
    <row r="49" spans="1:11" ht="14" hidden="1" thickBot="1" x14ac:dyDescent="0.2">
      <c r="A49" s="934"/>
      <c r="B49" s="860" t="s">
        <v>73</v>
      </c>
      <c r="C49" s="935">
        <f t="shared" si="12"/>
        <v>0</v>
      </c>
      <c r="D49" s="935"/>
      <c r="E49" s="936"/>
      <c r="F49" s="937"/>
      <c r="G49" s="938"/>
      <c r="H49" s="935"/>
      <c r="I49" s="935"/>
      <c r="J49" s="939"/>
    </row>
    <row r="50" spans="1:11" x14ac:dyDescent="0.15">
      <c r="A50" s="866" t="s">
        <v>332</v>
      </c>
      <c r="B50" s="842" t="s">
        <v>72</v>
      </c>
      <c r="C50" s="915">
        <f>C52</f>
        <v>35152</v>
      </c>
      <c r="D50" s="915">
        <f t="shared" ref="D50:J51" si="13">D52</f>
        <v>27056</v>
      </c>
      <c r="E50" s="916">
        <f t="shared" si="13"/>
        <v>6356</v>
      </c>
      <c r="F50" s="917">
        <f t="shared" si="13"/>
        <v>1740</v>
      </c>
      <c r="G50" s="918">
        <f t="shared" si="13"/>
        <v>0</v>
      </c>
      <c r="H50" s="915">
        <f t="shared" si="13"/>
        <v>0</v>
      </c>
      <c r="I50" s="915">
        <f t="shared" si="13"/>
        <v>0</v>
      </c>
      <c r="J50" s="919">
        <f t="shared" si="13"/>
        <v>0</v>
      </c>
    </row>
    <row r="51" spans="1:11" x14ac:dyDescent="0.15">
      <c r="A51" s="867" t="s">
        <v>330</v>
      </c>
      <c r="B51" s="868" t="s">
        <v>73</v>
      </c>
      <c r="C51" s="940">
        <f>C53</f>
        <v>35152</v>
      </c>
      <c r="D51" s="940">
        <f>D53</f>
        <v>18697</v>
      </c>
      <c r="E51" s="941">
        <f t="shared" si="13"/>
        <v>7343</v>
      </c>
      <c r="F51" s="942">
        <f t="shared" si="13"/>
        <v>9112</v>
      </c>
      <c r="G51" s="943">
        <f t="shared" si="13"/>
        <v>0</v>
      </c>
      <c r="H51" s="940">
        <f t="shared" si="13"/>
        <v>0</v>
      </c>
      <c r="I51" s="940">
        <f t="shared" si="13"/>
        <v>0</v>
      </c>
      <c r="J51" s="944">
        <f t="shared" si="13"/>
        <v>0</v>
      </c>
    </row>
    <row r="52" spans="1:11" x14ac:dyDescent="0.15">
      <c r="A52" s="945" t="s">
        <v>333</v>
      </c>
      <c r="B52" s="875" t="s">
        <v>72</v>
      </c>
      <c r="C52" s="946">
        <f t="shared" ref="C52:J53" si="14">C54+C64</f>
        <v>35152</v>
      </c>
      <c r="D52" s="946">
        <f t="shared" si="14"/>
        <v>27056</v>
      </c>
      <c r="E52" s="947">
        <f t="shared" si="14"/>
        <v>6356</v>
      </c>
      <c r="F52" s="948">
        <f t="shared" si="14"/>
        <v>1740</v>
      </c>
      <c r="G52" s="949">
        <f t="shared" si="14"/>
        <v>0</v>
      </c>
      <c r="H52" s="946">
        <f t="shared" si="14"/>
        <v>0</v>
      </c>
      <c r="I52" s="946">
        <f t="shared" si="14"/>
        <v>0</v>
      </c>
      <c r="J52" s="950">
        <f t="shared" si="14"/>
        <v>0</v>
      </c>
    </row>
    <row r="53" spans="1:11" x14ac:dyDescent="0.15">
      <c r="A53" s="867" t="s">
        <v>330</v>
      </c>
      <c r="B53" s="876" t="s">
        <v>73</v>
      </c>
      <c r="C53" s="951">
        <f t="shared" si="14"/>
        <v>35152</v>
      </c>
      <c r="D53" s="951">
        <f t="shared" si="14"/>
        <v>18697</v>
      </c>
      <c r="E53" s="952">
        <f t="shared" si="14"/>
        <v>7343</v>
      </c>
      <c r="F53" s="953">
        <f t="shared" si="14"/>
        <v>9112</v>
      </c>
      <c r="G53" s="954">
        <f t="shared" si="14"/>
        <v>0</v>
      </c>
      <c r="H53" s="951">
        <f t="shared" si="14"/>
        <v>0</v>
      </c>
      <c r="I53" s="951">
        <f t="shared" si="14"/>
        <v>0</v>
      </c>
      <c r="J53" s="955">
        <f t="shared" si="14"/>
        <v>0</v>
      </c>
    </row>
    <row r="54" spans="1:11" x14ac:dyDescent="0.15">
      <c r="A54" s="956" t="s">
        <v>334</v>
      </c>
      <c r="B54" s="842" t="s">
        <v>72</v>
      </c>
      <c r="C54" s="915">
        <f t="shared" ref="C54" si="15">D54+E54+F54+G54+H54+I54+J54</f>
        <v>35152</v>
      </c>
      <c r="D54" s="915">
        <f t="shared" ref="D54:J55" si="16">D56+D58+D62+D60</f>
        <v>27056</v>
      </c>
      <c r="E54" s="916">
        <f t="shared" si="16"/>
        <v>6356</v>
      </c>
      <c r="F54" s="917">
        <f t="shared" si="16"/>
        <v>1740</v>
      </c>
      <c r="G54" s="918">
        <f t="shared" si="16"/>
        <v>0</v>
      </c>
      <c r="H54" s="915">
        <f t="shared" si="16"/>
        <v>0</v>
      </c>
      <c r="I54" s="915">
        <f t="shared" si="16"/>
        <v>0</v>
      </c>
      <c r="J54" s="925">
        <f t="shared" si="16"/>
        <v>0</v>
      </c>
    </row>
    <row r="55" spans="1:11" x14ac:dyDescent="0.15">
      <c r="A55" s="957" t="s">
        <v>330</v>
      </c>
      <c r="B55" s="887" t="s">
        <v>73</v>
      </c>
      <c r="C55" s="958">
        <f>D55+E55+F55+G55+H55+I55+J55</f>
        <v>35152</v>
      </c>
      <c r="D55" s="958">
        <f t="shared" si="16"/>
        <v>18697</v>
      </c>
      <c r="E55" s="959">
        <f t="shared" si="16"/>
        <v>7343</v>
      </c>
      <c r="F55" s="960">
        <f t="shared" si="16"/>
        <v>9112</v>
      </c>
      <c r="G55" s="961">
        <f t="shared" si="16"/>
        <v>0</v>
      </c>
      <c r="H55" s="958">
        <f t="shared" si="16"/>
        <v>0</v>
      </c>
      <c r="I55" s="958">
        <f t="shared" si="16"/>
        <v>0</v>
      </c>
      <c r="J55" s="962">
        <f t="shared" si="16"/>
        <v>0</v>
      </c>
    </row>
    <row r="56" spans="1:11" x14ac:dyDescent="0.15">
      <c r="A56" s="1417" t="s">
        <v>337</v>
      </c>
      <c r="B56" s="963" t="s">
        <v>72</v>
      </c>
      <c r="C56" s="964">
        <f t="shared" ref="C56:C69" si="17">D56+E56+F56+G56+H56+I56+J56</f>
        <v>623</v>
      </c>
      <c r="D56" s="964">
        <v>563</v>
      </c>
      <c r="E56" s="965">
        <v>60</v>
      </c>
      <c r="F56" s="966">
        <v>0</v>
      </c>
      <c r="G56" s="967">
        <v>0</v>
      </c>
      <c r="H56" s="964">
        <v>0</v>
      </c>
      <c r="I56" s="964">
        <v>0</v>
      </c>
      <c r="J56" s="968">
        <v>0</v>
      </c>
      <c r="K56" s="1419" t="s">
        <v>338</v>
      </c>
    </row>
    <row r="57" spans="1:11" x14ac:dyDescent="0.15">
      <c r="A57" s="1418"/>
      <c r="B57" s="969" t="s">
        <v>73</v>
      </c>
      <c r="C57" s="970">
        <f t="shared" si="17"/>
        <v>623</v>
      </c>
      <c r="D57" s="970">
        <v>29</v>
      </c>
      <c r="E57" s="971">
        <v>198</v>
      </c>
      <c r="F57" s="972">
        <v>396</v>
      </c>
      <c r="G57" s="973">
        <v>0</v>
      </c>
      <c r="H57" s="970">
        <v>0</v>
      </c>
      <c r="I57" s="970">
        <v>0</v>
      </c>
      <c r="J57" s="974">
        <v>0</v>
      </c>
      <c r="K57" s="1420"/>
    </row>
    <row r="58" spans="1:11" x14ac:dyDescent="0.15">
      <c r="A58" s="1417" t="s">
        <v>339</v>
      </c>
      <c r="B58" s="963" t="s">
        <v>72</v>
      </c>
      <c r="C58" s="964">
        <f t="shared" si="17"/>
        <v>6829</v>
      </c>
      <c r="D58" s="964">
        <v>5089</v>
      </c>
      <c r="E58" s="965">
        <v>0</v>
      </c>
      <c r="F58" s="966">
        <v>1740</v>
      </c>
      <c r="G58" s="967">
        <v>0</v>
      </c>
      <c r="H58" s="964">
        <v>0</v>
      </c>
      <c r="I58" s="964">
        <v>0</v>
      </c>
      <c r="J58" s="968">
        <v>0</v>
      </c>
      <c r="K58" s="1419" t="s">
        <v>338</v>
      </c>
    </row>
    <row r="59" spans="1:11" x14ac:dyDescent="0.15">
      <c r="A59" s="1418"/>
      <c r="B59" s="969" t="s">
        <v>73</v>
      </c>
      <c r="C59" s="970">
        <f t="shared" si="17"/>
        <v>6829</v>
      </c>
      <c r="D59" s="970">
        <v>203</v>
      </c>
      <c r="E59" s="971">
        <v>0</v>
      </c>
      <c r="F59" s="972">
        <v>6626</v>
      </c>
      <c r="G59" s="973">
        <v>0</v>
      </c>
      <c r="H59" s="970">
        <v>0</v>
      </c>
      <c r="I59" s="970">
        <v>0</v>
      </c>
      <c r="J59" s="974">
        <v>0</v>
      </c>
      <c r="K59" s="1420"/>
    </row>
    <row r="60" spans="1:11" x14ac:dyDescent="0.15">
      <c r="A60" s="1417" t="s">
        <v>340</v>
      </c>
      <c r="B60" s="963" t="s">
        <v>72</v>
      </c>
      <c r="C60" s="964">
        <f>D60+E60+F60+G60+H60+I60+J60</f>
        <v>3062</v>
      </c>
      <c r="D60" s="964">
        <v>3062</v>
      </c>
      <c r="E60" s="965">
        <v>0</v>
      </c>
      <c r="F60" s="966">
        <v>0</v>
      </c>
      <c r="G60" s="967">
        <v>0</v>
      </c>
      <c r="H60" s="964">
        <v>0</v>
      </c>
      <c r="I60" s="964">
        <v>0</v>
      </c>
      <c r="J60" s="968">
        <v>0</v>
      </c>
      <c r="K60" s="1419" t="s">
        <v>338</v>
      </c>
    </row>
    <row r="61" spans="1:11" ht="14" thickBot="1" x14ac:dyDescent="0.2">
      <c r="A61" s="1435"/>
      <c r="B61" s="975" t="s">
        <v>73</v>
      </c>
      <c r="C61" s="976">
        <f>D61+E61+F61+G61+H61+I61+J61</f>
        <v>3062</v>
      </c>
      <c r="D61" s="976">
        <v>123</v>
      </c>
      <c r="E61" s="977">
        <v>849</v>
      </c>
      <c r="F61" s="978">
        <v>2090</v>
      </c>
      <c r="G61" s="979">
        <v>0</v>
      </c>
      <c r="H61" s="976">
        <v>0</v>
      </c>
      <c r="I61" s="976">
        <v>0</v>
      </c>
      <c r="J61" s="980">
        <v>0</v>
      </c>
      <c r="K61" s="1420"/>
    </row>
    <row r="62" spans="1:11" x14ac:dyDescent="0.15">
      <c r="A62" s="1436" t="s">
        <v>341</v>
      </c>
      <c r="B62" s="981" t="s">
        <v>72</v>
      </c>
      <c r="C62" s="982">
        <f t="shared" si="17"/>
        <v>24638</v>
      </c>
      <c r="D62" s="982">
        <v>18342</v>
      </c>
      <c r="E62" s="983">
        <v>6296</v>
      </c>
      <c r="F62" s="984">
        <v>0</v>
      </c>
      <c r="G62" s="985">
        <v>0</v>
      </c>
      <c r="H62" s="982">
        <v>0</v>
      </c>
      <c r="I62" s="982">
        <v>0</v>
      </c>
      <c r="J62" s="986">
        <v>0</v>
      </c>
      <c r="K62" s="1419" t="s">
        <v>338</v>
      </c>
    </row>
    <row r="63" spans="1:11" x14ac:dyDescent="0.15">
      <c r="A63" s="1437"/>
      <c r="B63" s="987" t="s">
        <v>73</v>
      </c>
      <c r="C63" s="988">
        <f t="shared" si="17"/>
        <v>24638</v>
      </c>
      <c r="D63" s="988">
        <v>18342</v>
      </c>
      <c r="E63" s="989">
        <v>6296</v>
      </c>
      <c r="F63" s="990">
        <v>0</v>
      </c>
      <c r="G63" s="991">
        <v>0</v>
      </c>
      <c r="H63" s="988">
        <v>0</v>
      </c>
      <c r="I63" s="988">
        <v>0</v>
      </c>
      <c r="J63" s="992">
        <v>0</v>
      </c>
      <c r="K63" s="1420"/>
    </row>
    <row r="64" spans="1:11" x14ac:dyDescent="0.15">
      <c r="A64" s="993" t="s">
        <v>342</v>
      </c>
      <c r="B64" s="875" t="s">
        <v>72</v>
      </c>
      <c r="C64" s="915">
        <f t="shared" ref="C64:C65" si="18">C66+C68</f>
        <v>0</v>
      </c>
      <c r="D64" s="915">
        <f>D66+D68</f>
        <v>0</v>
      </c>
      <c r="E64" s="916">
        <f t="shared" ref="E64:J65" si="19">E66+E68</f>
        <v>0</v>
      </c>
      <c r="F64" s="917">
        <f t="shared" si="19"/>
        <v>0</v>
      </c>
      <c r="G64" s="918">
        <f t="shared" si="19"/>
        <v>0</v>
      </c>
      <c r="H64" s="915">
        <f t="shared" si="19"/>
        <v>0</v>
      </c>
      <c r="I64" s="915">
        <f t="shared" si="19"/>
        <v>0</v>
      </c>
      <c r="J64" s="919">
        <f t="shared" si="19"/>
        <v>0</v>
      </c>
    </row>
    <row r="65" spans="1:10" x14ac:dyDescent="0.15">
      <c r="A65" s="994" t="s">
        <v>330</v>
      </c>
      <c r="B65" s="995" t="s">
        <v>73</v>
      </c>
      <c r="C65" s="996">
        <f t="shared" si="18"/>
        <v>0</v>
      </c>
      <c r="D65" s="996">
        <f>D67+D69</f>
        <v>0</v>
      </c>
      <c r="E65" s="997">
        <f t="shared" si="19"/>
        <v>0</v>
      </c>
      <c r="F65" s="998">
        <f t="shared" si="19"/>
        <v>0</v>
      </c>
      <c r="G65" s="999">
        <f t="shared" si="19"/>
        <v>0</v>
      </c>
      <c r="H65" s="996">
        <f t="shared" si="19"/>
        <v>0</v>
      </c>
      <c r="I65" s="996">
        <f t="shared" si="19"/>
        <v>0</v>
      </c>
      <c r="J65" s="1000">
        <f t="shared" si="19"/>
        <v>0</v>
      </c>
    </row>
    <row r="66" spans="1:10" x14ac:dyDescent="0.15">
      <c r="A66" s="1001"/>
      <c r="B66" s="963" t="s">
        <v>72</v>
      </c>
      <c r="C66" s="964">
        <f t="shared" si="17"/>
        <v>0</v>
      </c>
      <c r="D66" s="964"/>
      <c r="E66" s="965"/>
      <c r="F66" s="966"/>
      <c r="G66" s="967"/>
      <c r="H66" s="964"/>
      <c r="I66" s="964"/>
      <c r="J66" s="968"/>
    </row>
    <row r="67" spans="1:10" x14ac:dyDescent="0.15">
      <c r="A67" s="1002"/>
      <c r="B67" s="1003" t="s">
        <v>73</v>
      </c>
      <c r="C67" s="1004">
        <f t="shared" si="17"/>
        <v>0</v>
      </c>
      <c r="D67" s="1004"/>
      <c r="E67" s="1005"/>
      <c r="F67" s="1006"/>
      <c r="G67" s="1007"/>
      <c r="H67" s="1004"/>
      <c r="I67" s="1004"/>
      <c r="J67" s="1008"/>
    </row>
    <row r="68" spans="1:10" hidden="1" x14ac:dyDescent="0.15">
      <c r="A68" s="1001"/>
      <c r="B68" s="963" t="s">
        <v>72</v>
      </c>
      <c r="C68" s="964">
        <f t="shared" si="17"/>
        <v>0</v>
      </c>
      <c r="D68" s="964"/>
      <c r="E68" s="965"/>
      <c r="F68" s="966"/>
      <c r="G68" s="967"/>
      <c r="H68" s="964"/>
      <c r="I68" s="964"/>
      <c r="J68" s="968"/>
    </row>
    <row r="69" spans="1:10" hidden="1" x14ac:dyDescent="0.15">
      <c r="A69" s="1002"/>
      <c r="B69" s="1003" t="s">
        <v>73</v>
      </c>
      <c r="C69" s="1004">
        <f t="shared" si="17"/>
        <v>0</v>
      </c>
      <c r="D69" s="1004"/>
      <c r="E69" s="1005"/>
      <c r="F69" s="1006"/>
      <c r="G69" s="1007"/>
      <c r="H69" s="1004"/>
      <c r="I69" s="1004"/>
      <c r="J69" s="1008"/>
    </row>
    <row r="70" spans="1:10" s="904" customFormat="1" ht="15.75" customHeight="1" x14ac:dyDescent="0.15">
      <c r="A70" s="1009" t="s">
        <v>343</v>
      </c>
      <c r="B70" s="1010"/>
      <c r="C70" s="1011"/>
      <c r="D70" s="1011"/>
      <c r="E70" s="1011"/>
      <c r="F70" s="1011"/>
      <c r="G70" s="1011"/>
      <c r="H70" s="1011"/>
      <c r="I70" s="1011"/>
      <c r="J70" s="1012"/>
    </row>
    <row r="71" spans="1:10" x14ac:dyDescent="0.15">
      <c r="A71" s="1413" t="s">
        <v>328</v>
      </c>
      <c r="B71" s="875" t="s">
        <v>72</v>
      </c>
      <c r="C71" s="905">
        <f>D71+E71+F71+G71+H71+I71+J71</f>
        <v>0</v>
      </c>
      <c r="D71" s="905">
        <f>D73+D83</f>
        <v>0</v>
      </c>
      <c r="E71" s="906">
        <f t="shared" ref="E71:J72" si="20">E73+E83</f>
        <v>0</v>
      </c>
      <c r="F71" s="832">
        <f t="shared" si="20"/>
        <v>0</v>
      </c>
      <c r="G71" s="907">
        <f t="shared" si="20"/>
        <v>0</v>
      </c>
      <c r="H71" s="905">
        <f t="shared" si="20"/>
        <v>0</v>
      </c>
      <c r="I71" s="905">
        <f t="shared" si="20"/>
        <v>0</v>
      </c>
      <c r="J71" s="908">
        <f t="shared" si="20"/>
        <v>0</v>
      </c>
    </row>
    <row r="72" spans="1:10" ht="14" thickBot="1" x14ac:dyDescent="0.2">
      <c r="A72" s="1414"/>
      <c r="B72" s="909" t="s">
        <v>73</v>
      </c>
      <c r="C72" s="1013">
        <f>D72+E72+F72+G72+H72+I72+J72</f>
        <v>0</v>
      </c>
      <c r="D72" s="1013">
        <f>D74+D84</f>
        <v>0</v>
      </c>
      <c r="E72" s="1014">
        <f t="shared" si="20"/>
        <v>0</v>
      </c>
      <c r="F72" s="1015">
        <f t="shared" si="20"/>
        <v>0</v>
      </c>
      <c r="G72" s="1016">
        <f t="shared" si="20"/>
        <v>0</v>
      </c>
      <c r="H72" s="1013">
        <f t="shared" si="20"/>
        <v>0</v>
      </c>
      <c r="I72" s="1013">
        <f t="shared" si="20"/>
        <v>0</v>
      </c>
      <c r="J72" s="1017">
        <f t="shared" si="20"/>
        <v>0</v>
      </c>
    </row>
    <row r="73" spans="1:10" x14ac:dyDescent="0.15">
      <c r="A73" s="841" t="s">
        <v>329</v>
      </c>
      <c r="B73" s="842" t="s">
        <v>72</v>
      </c>
      <c r="C73" s="915">
        <f>C75</f>
        <v>0</v>
      </c>
      <c r="D73" s="915">
        <f t="shared" ref="D73:J74" si="21">D75</f>
        <v>0</v>
      </c>
      <c r="E73" s="916">
        <f t="shared" si="21"/>
        <v>0</v>
      </c>
      <c r="F73" s="917">
        <f t="shared" si="21"/>
        <v>0</v>
      </c>
      <c r="G73" s="918">
        <f t="shared" si="21"/>
        <v>0</v>
      </c>
      <c r="H73" s="915">
        <f t="shared" si="21"/>
        <v>0</v>
      </c>
      <c r="I73" s="915">
        <f t="shared" si="21"/>
        <v>0</v>
      </c>
      <c r="J73" s="919">
        <f t="shared" si="21"/>
        <v>0</v>
      </c>
    </row>
    <row r="74" spans="1:10" x14ac:dyDescent="0.15">
      <c r="A74" s="848" t="s">
        <v>330</v>
      </c>
      <c r="B74" s="849" t="s">
        <v>73</v>
      </c>
      <c r="C74" s="920">
        <f>C76</f>
        <v>0</v>
      </c>
      <c r="D74" s="920">
        <f>D76</f>
        <v>0</v>
      </c>
      <c r="E74" s="921">
        <f t="shared" si="21"/>
        <v>0</v>
      </c>
      <c r="F74" s="922">
        <f t="shared" si="21"/>
        <v>0</v>
      </c>
      <c r="G74" s="923">
        <f t="shared" si="21"/>
        <v>0</v>
      </c>
      <c r="H74" s="920">
        <f t="shared" si="21"/>
        <v>0</v>
      </c>
      <c r="I74" s="920">
        <f t="shared" si="21"/>
        <v>0</v>
      </c>
      <c r="J74" s="924">
        <f t="shared" si="21"/>
        <v>0</v>
      </c>
    </row>
    <row r="75" spans="1:10" x14ac:dyDescent="0.15">
      <c r="A75" s="1415" t="s">
        <v>331</v>
      </c>
      <c r="B75" s="842" t="s">
        <v>72</v>
      </c>
      <c r="C75" s="915">
        <f t="shared" ref="C75" si="22">D75+E75+F75+G75+H75+I75+J75</f>
        <v>0</v>
      </c>
      <c r="D75" s="915">
        <f>D77+D79+D81</f>
        <v>0</v>
      </c>
      <c r="E75" s="916">
        <f t="shared" ref="E75:J76" si="23">E77+E79+E81</f>
        <v>0</v>
      </c>
      <c r="F75" s="917">
        <f t="shared" si="23"/>
        <v>0</v>
      </c>
      <c r="G75" s="918">
        <f t="shared" si="23"/>
        <v>0</v>
      </c>
      <c r="H75" s="915">
        <f t="shared" si="23"/>
        <v>0</v>
      </c>
      <c r="I75" s="915">
        <f t="shared" si="23"/>
        <v>0</v>
      </c>
      <c r="J75" s="925">
        <f t="shared" si="23"/>
        <v>0</v>
      </c>
    </row>
    <row r="76" spans="1:10" x14ac:dyDescent="0.15">
      <c r="A76" s="1416"/>
      <c r="B76" s="849" t="s">
        <v>73</v>
      </c>
      <c r="C76" s="920">
        <f>D76+E76+F76+G76+H76+I76+J76</f>
        <v>0</v>
      </c>
      <c r="D76" s="920">
        <f>D78+D80+D82</f>
        <v>0</v>
      </c>
      <c r="E76" s="921">
        <f t="shared" si="23"/>
        <v>0</v>
      </c>
      <c r="F76" s="922">
        <f t="shared" si="23"/>
        <v>0</v>
      </c>
      <c r="G76" s="923">
        <f t="shared" si="23"/>
        <v>0</v>
      </c>
      <c r="H76" s="920">
        <f t="shared" si="23"/>
        <v>0</v>
      </c>
      <c r="I76" s="920">
        <f t="shared" si="23"/>
        <v>0</v>
      </c>
      <c r="J76" s="924">
        <f t="shared" si="23"/>
        <v>0</v>
      </c>
    </row>
    <row r="77" spans="1:10" x14ac:dyDescent="0.15">
      <c r="A77" s="926"/>
      <c r="B77" s="875" t="s">
        <v>72</v>
      </c>
      <c r="C77" s="882">
        <f t="shared" ref="C77:C82" si="24">D77+E77+F77+G77+H77+I77+J77</f>
        <v>0</v>
      </c>
      <c r="D77" s="882"/>
      <c r="E77" s="883"/>
      <c r="F77" s="884"/>
      <c r="G77" s="885"/>
      <c r="H77" s="882"/>
      <c r="I77" s="882"/>
      <c r="J77" s="927"/>
    </row>
    <row r="78" spans="1:10" x14ac:dyDescent="0.15">
      <c r="A78" s="928"/>
      <c r="B78" s="849" t="s">
        <v>73</v>
      </c>
      <c r="C78" s="1018">
        <f t="shared" si="24"/>
        <v>0</v>
      </c>
      <c r="D78" s="1018"/>
      <c r="E78" s="1019"/>
      <c r="F78" s="1020"/>
      <c r="G78" s="1021"/>
      <c r="H78" s="1018"/>
      <c r="I78" s="1018"/>
      <c r="J78" s="1022"/>
    </row>
    <row r="79" spans="1:10" hidden="1" x14ac:dyDescent="0.15">
      <c r="A79" s="926"/>
      <c r="B79" s="842" t="s">
        <v>72</v>
      </c>
      <c r="C79" s="882">
        <f t="shared" si="24"/>
        <v>0</v>
      </c>
      <c r="D79" s="882"/>
      <c r="E79" s="883"/>
      <c r="F79" s="884"/>
      <c r="G79" s="885"/>
      <c r="H79" s="882"/>
      <c r="I79" s="882"/>
      <c r="J79" s="927"/>
    </row>
    <row r="80" spans="1:10" hidden="1" x14ac:dyDescent="0.15">
      <c r="A80" s="928"/>
      <c r="B80" s="849" t="s">
        <v>73</v>
      </c>
      <c r="C80" s="929">
        <f t="shared" si="24"/>
        <v>0</v>
      </c>
      <c r="D80" s="929"/>
      <c r="E80" s="930"/>
      <c r="F80" s="931"/>
      <c r="G80" s="932"/>
      <c r="H80" s="929"/>
      <c r="I80" s="929"/>
      <c r="J80" s="933"/>
    </row>
    <row r="81" spans="1:10" ht="15" hidden="1" customHeight="1" x14ac:dyDescent="0.15">
      <c r="A81" s="926"/>
      <c r="B81" s="842" t="s">
        <v>72</v>
      </c>
      <c r="C81" s="882">
        <f t="shared" si="24"/>
        <v>0</v>
      </c>
      <c r="D81" s="882"/>
      <c r="E81" s="883"/>
      <c r="F81" s="884"/>
      <c r="G81" s="885"/>
      <c r="H81" s="882"/>
      <c r="I81" s="882"/>
      <c r="J81" s="927"/>
    </row>
    <row r="82" spans="1:10" ht="15" hidden="1" customHeight="1" thickBot="1" x14ac:dyDescent="0.2">
      <c r="A82" s="934"/>
      <c r="B82" s="860" t="s">
        <v>73</v>
      </c>
      <c r="C82" s="935">
        <f t="shared" si="24"/>
        <v>0</v>
      </c>
      <c r="D82" s="935"/>
      <c r="E82" s="936"/>
      <c r="F82" s="937"/>
      <c r="G82" s="938"/>
      <c r="H82" s="935"/>
      <c r="I82" s="935"/>
      <c r="J82" s="939"/>
    </row>
    <row r="83" spans="1:10" x14ac:dyDescent="0.15">
      <c r="A83" s="866" t="s">
        <v>332</v>
      </c>
      <c r="B83" s="842" t="s">
        <v>72</v>
      </c>
      <c r="C83" s="915">
        <f>C85</f>
        <v>0</v>
      </c>
      <c r="D83" s="915">
        <f t="shared" ref="D83:J84" si="25">D85</f>
        <v>0</v>
      </c>
      <c r="E83" s="916">
        <f t="shared" si="25"/>
        <v>0</v>
      </c>
      <c r="F83" s="917">
        <f t="shared" si="25"/>
        <v>0</v>
      </c>
      <c r="G83" s="918">
        <f t="shared" si="25"/>
        <v>0</v>
      </c>
      <c r="H83" s="915">
        <f t="shared" si="25"/>
        <v>0</v>
      </c>
      <c r="I83" s="915">
        <f t="shared" si="25"/>
        <v>0</v>
      </c>
      <c r="J83" s="919">
        <f t="shared" si="25"/>
        <v>0</v>
      </c>
    </row>
    <row r="84" spans="1:10" x14ac:dyDescent="0.15">
      <c r="A84" s="867" t="s">
        <v>330</v>
      </c>
      <c r="B84" s="868" t="s">
        <v>73</v>
      </c>
      <c r="C84" s="940">
        <f>C86</f>
        <v>0</v>
      </c>
      <c r="D84" s="940">
        <f>D86</f>
        <v>0</v>
      </c>
      <c r="E84" s="941">
        <f t="shared" si="25"/>
        <v>0</v>
      </c>
      <c r="F84" s="942">
        <f t="shared" si="25"/>
        <v>0</v>
      </c>
      <c r="G84" s="943">
        <f t="shared" si="25"/>
        <v>0</v>
      </c>
      <c r="H84" s="940">
        <f t="shared" si="25"/>
        <v>0</v>
      </c>
      <c r="I84" s="940">
        <f t="shared" si="25"/>
        <v>0</v>
      </c>
      <c r="J84" s="944">
        <f t="shared" si="25"/>
        <v>0</v>
      </c>
    </row>
    <row r="85" spans="1:10" x14ac:dyDescent="0.15">
      <c r="A85" s="945" t="s">
        <v>333</v>
      </c>
      <c r="B85" s="875" t="s">
        <v>72</v>
      </c>
      <c r="C85" s="946">
        <f>C87+C95</f>
        <v>0</v>
      </c>
      <c r="D85" s="946">
        <f t="shared" ref="D85:J86" si="26">D87+D95</f>
        <v>0</v>
      </c>
      <c r="E85" s="947">
        <f t="shared" si="26"/>
        <v>0</v>
      </c>
      <c r="F85" s="948">
        <f t="shared" si="26"/>
        <v>0</v>
      </c>
      <c r="G85" s="949">
        <f t="shared" si="26"/>
        <v>0</v>
      </c>
      <c r="H85" s="946">
        <f t="shared" si="26"/>
        <v>0</v>
      </c>
      <c r="I85" s="946">
        <f t="shared" si="26"/>
        <v>0</v>
      </c>
      <c r="J85" s="950">
        <f t="shared" si="26"/>
        <v>0</v>
      </c>
    </row>
    <row r="86" spans="1:10" x14ac:dyDescent="0.15">
      <c r="A86" s="867" t="s">
        <v>330</v>
      </c>
      <c r="B86" s="876" t="s">
        <v>73</v>
      </c>
      <c r="C86" s="951">
        <f>C88+C96</f>
        <v>0</v>
      </c>
      <c r="D86" s="951">
        <f>D88+D96</f>
        <v>0</v>
      </c>
      <c r="E86" s="952">
        <f t="shared" si="26"/>
        <v>0</v>
      </c>
      <c r="F86" s="953">
        <f t="shared" si="26"/>
        <v>0</v>
      </c>
      <c r="G86" s="954">
        <f t="shared" si="26"/>
        <v>0</v>
      </c>
      <c r="H86" s="951">
        <f t="shared" si="26"/>
        <v>0</v>
      </c>
      <c r="I86" s="951">
        <f t="shared" si="26"/>
        <v>0</v>
      </c>
      <c r="J86" s="955">
        <f t="shared" si="26"/>
        <v>0</v>
      </c>
    </row>
    <row r="87" spans="1:10" x14ac:dyDescent="0.15">
      <c r="A87" s="956" t="s">
        <v>334</v>
      </c>
      <c r="B87" s="842" t="s">
        <v>72</v>
      </c>
      <c r="C87" s="915">
        <f t="shared" ref="C87" si="27">D87+E87+F87+G87+H87+I87+J87</f>
        <v>0</v>
      </c>
      <c r="D87" s="915">
        <f>D89+D91+D93</f>
        <v>0</v>
      </c>
      <c r="E87" s="916">
        <f t="shared" ref="E87:J88" si="28">E89+E91+E93</f>
        <v>0</v>
      </c>
      <c r="F87" s="917">
        <f t="shared" si="28"/>
        <v>0</v>
      </c>
      <c r="G87" s="918">
        <f t="shared" si="28"/>
        <v>0</v>
      </c>
      <c r="H87" s="915">
        <f t="shared" si="28"/>
        <v>0</v>
      </c>
      <c r="I87" s="915">
        <f t="shared" si="28"/>
        <v>0</v>
      </c>
      <c r="J87" s="925">
        <f t="shared" si="28"/>
        <v>0</v>
      </c>
    </row>
    <row r="88" spans="1:10" ht="15" customHeight="1" x14ac:dyDescent="0.15">
      <c r="A88" s="957" t="s">
        <v>330</v>
      </c>
      <c r="B88" s="887" t="s">
        <v>73</v>
      </c>
      <c r="C88" s="958">
        <f>D88+E88+F88+G88+H88+I88+J88</f>
        <v>0</v>
      </c>
      <c r="D88" s="958">
        <f>D90+D92+D94</f>
        <v>0</v>
      </c>
      <c r="E88" s="959">
        <f t="shared" si="28"/>
        <v>0</v>
      </c>
      <c r="F88" s="960">
        <f t="shared" si="28"/>
        <v>0</v>
      </c>
      <c r="G88" s="961">
        <f t="shared" si="28"/>
        <v>0</v>
      </c>
      <c r="H88" s="958">
        <f t="shared" si="28"/>
        <v>0</v>
      </c>
      <c r="I88" s="958">
        <f t="shared" si="28"/>
        <v>0</v>
      </c>
      <c r="J88" s="962">
        <f t="shared" si="28"/>
        <v>0</v>
      </c>
    </row>
    <row r="89" spans="1:10" x14ac:dyDescent="0.15">
      <c r="A89" s="1001"/>
      <c r="B89" s="963" t="s">
        <v>72</v>
      </c>
      <c r="C89" s="964">
        <f t="shared" ref="C89:C95" si="29">D89+E89+F89+G89+H89+I89+J89</f>
        <v>0</v>
      </c>
      <c r="D89" s="964"/>
      <c r="E89" s="965"/>
      <c r="F89" s="966"/>
      <c r="G89" s="967"/>
      <c r="H89" s="964"/>
      <c r="I89" s="964"/>
      <c r="J89" s="968"/>
    </row>
    <row r="90" spans="1:10" x14ac:dyDescent="0.15">
      <c r="A90" s="1002"/>
      <c r="B90" s="969" t="s">
        <v>73</v>
      </c>
      <c r="C90" s="970">
        <f t="shared" si="29"/>
        <v>0</v>
      </c>
      <c r="D90" s="970"/>
      <c r="E90" s="971"/>
      <c r="F90" s="972"/>
      <c r="G90" s="973"/>
      <c r="H90" s="970"/>
      <c r="I90" s="970"/>
      <c r="J90" s="974"/>
    </row>
    <row r="91" spans="1:10" hidden="1" x14ac:dyDescent="0.15">
      <c r="A91" s="1001"/>
      <c r="B91" s="963" t="s">
        <v>72</v>
      </c>
      <c r="C91" s="964">
        <f t="shared" si="29"/>
        <v>0</v>
      </c>
      <c r="D91" s="964"/>
      <c r="E91" s="965"/>
      <c r="F91" s="966"/>
      <c r="G91" s="967"/>
      <c r="H91" s="964"/>
      <c r="I91" s="964"/>
      <c r="J91" s="968"/>
    </row>
    <row r="92" spans="1:10" hidden="1" x14ac:dyDescent="0.15">
      <c r="A92" s="1002"/>
      <c r="B92" s="969" t="s">
        <v>73</v>
      </c>
      <c r="C92" s="970">
        <f t="shared" si="29"/>
        <v>0</v>
      </c>
      <c r="D92" s="970"/>
      <c r="E92" s="971"/>
      <c r="F92" s="972"/>
      <c r="G92" s="973"/>
      <c r="H92" s="970"/>
      <c r="I92" s="970"/>
      <c r="J92" s="974"/>
    </row>
    <row r="93" spans="1:10" hidden="1" x14ac:dyDescent="0.15">
      <c r="A93" s="1001"/>
      <c r="B93" s="963" t="s">
        <v>72</v>
      </c>
      <c r="C93" s="964">
        <f t="shared" si="29"/>
        <v>0</v>
      </c>
      <c r="D93" s="964"/>
      <c r="E93" s="965"/>
      <c r="F93" s="966"/>
      <c r="G93" s="967"/>
      <c r="H93" s="964"/>
      <c r="I93" s="964"/>
      <c r="J93" s="968"/>
    </row>
    <row r="94" spans="1:10" hidden="1" x14ac:dyDescent="0.15">
      <c r="A94" s="1002"/>
      <c r="B94" s="969" t="s">
        <v>73</v>
      </c>
      <c r="C94" s="970">
        <f t="shared" si="29"/>
        <v>0</v>
      </c>
      <c r="D94" s="970"/>
      <c r="E94" s="971"/>
      <c r="F94" s="972"/>
      <c r="G94" s="973"/>
      <c r="H94" s="970"/>
      <c r="I94" s="970"/>
      <c r="J94" s="974"/>
    </row>
    <row r="95" spans="1:10" x14ac:dyDescent="0.15">
      <c r="A95" s="993" t="s">
        <v>342</v>
      </c>
      <c r="B95" s="875" t="s">
        <v>72</v>
      </c>
      <c r="C95" s="915">
        <f t="shared" si="29"/>
        <v>0</v>
      </c>
      <c r="D95" s="915">
        <f>D97+D99+D101</f>
        <v>0</v>
      </c>
      <c r="E95" s="916">
        <f t="shared" ref="E95:J96" si="30">E97+E99+E101</f>
        <v>0</v>
      </c>
      <c r="F95" s="917">
        <f t="shared" si="30"/>
        <v>0</v>
      </c>
      <c r="G95" s="918">
        <f t="shared" si="30"/>
        <v>0</v>
      </c>
      <c r="H95" s="915">
        <f t="shared" si="30"/>
        <v>0</v>
      </c>
      <c r="I95" s="915">
        <f t="shared" si="30"/>
        <v>0</v>
      </c>
      <c r="J95" s="919">
        <f t="shared" si="30"/>
        <v>0</v>
      </c>
    </row>
    <row r="96" spans="1:10" ht="13.5" customHeight="1" x14ac:dyDescent="0.15">
      <c r="A96" s="994" t="s">
        <v>330</v>
      </c>
      <c r="B96" s="995" t="s">
        <v>73</v>
      </c>
      <c r="C96" s="996">
        <f>D96+E96+F96+G96+H96+I96+J96</f>
        <v>0</v>
      </c>
      <c r="D96" s="996">
        <f>D98+D100+D102</f>
        <v>0</v>
      </c>
      <c r="E96" s="997">
        <f t="shared" si="30"/>
        <v>0</v>
      </c>
      <c r="F96" s="998">
        <f t="shared" si="30"/>
        <v>0</v>
      </c>
      <c r="G96" s="999">
        <f t="shared" si="30"/>
        <v>0</v>
      </c>
      <c r="H96" s="996">
        <f t="shared" si="30"/>
        <v>0</v>
      </c>
      <c r="I96" s="996">
        <f t="shared" si="30"/>
        <v>0</v>
      </c>
      <c r="J96" s="1000">
        <f t="shared" si="30"/>
        <v>0</v>
      </c>
    </row>
    <row r="97" spans="1:10" ht="12.75" customHeight="1" x14ac:dyDescent="0.15">
      <c r="A97" s="1001"/>
      <c r="B97" s="963" t="s">
        <v>72</v>
      </c>
      <c r="C97" s="964">
        <f t="shared" ref="C97:C102" si="31">D97+E97+F97+G97+H97+I97+J97</f>
        <v>0</v>
      </c>
      <c r="D97" s="964"/>
      <c r="E97" s="965"/>
      <c r="F97" s="966"/>
      <c r="G97" s="967"/>
      <c r="H97" s="964"/>
      <c r="I97" s="964"/>
      <c r="J97" s="968"/>
    </row>
    <row r="98" spans="1:10" ht="12.75" customHeight="1" x14ac:dyDescent="0.15">
      <c r="A98" s="1002"/>
      <c r="B98" s="1003" t="s">
        <v>73</v>
      </c>
      <c r="C98" s="1004">
        <f t="shared" si="31"/>
        <v>0</v>
      </c>
      <c r="D98" s="1004"/>
      <c r="E98" s="1005"/>
      <c r="F98" s="1006"/>
      <c r="G98" s="1007"/>
      <c r="H98" s="1004"/>
      <c r="I98" s="1004"/>
      <c r="J98" s="1008"/>
    </row>
    <row r="99" spans="1:10" ht="12.75" hidden="1" customHeight="1" x14ac:dyDescent="0.15">
      <c r="A99" s="1001"/>
      <c r="B99" s="963" t="s">
        <v>72</v>
      </c>
      <c r="C99" s="964">
        <f t="shared" si="31"/>
        <v>0</v>
      </c>
      <c r="D99" s="964"/>
      <c r="E99" s="965"/>
      <c r="F99" s="966"/>
      <c r="G99" s="967"/>
      <c r="H99" s="964"/>
      <c r="I99" s="964"/>
      <c r="J99" s="968"/>
    </row>
    <row r="100" spans="1:10" hidden="1" x14ac:dyDescent="0.15">
      <c r="A100" s="1002"/>
      <c r="B100" s="1003" t="s">
        <v>73</v>
      </c>
      <c r="C100" s="1004">
        <f t="shared" si="31"/>
        <v>0</v>
      </c>
      <c r="D100" s="1004"/>
      <c r="E100" s="1005"/>
      <c r="F100" s="1006"/>
      <c r="G100" s="1007"/>
      <c r="H100" s="1004"/>
      <c r="I100" s="1004"/>
      <c r="J100" s="1008"/>
    </row>
    <row r="101" spans="1:10" hidden="1" x14ac:dyDescent="0.15">
      <c r="A101" s="1001"/>
      <c r="B101" s="963" t="s">
        <v>72</v>
      </c>
      <c r="C101" s="964">
        <f t="shared" si="31"/>
        <v>0</v>
      </c>
      <c r="D101" s="964"/>
      <c r="E101" s="965"/>
      <c r="F101" s="966"/>
      <c r="G101" s="967"/>
      <c r="H101" s="964"/>
      <c r="I101" s="964"/>
      <c r="J101" s="968"/>
    </row>
    <row r="102" spans="1:10" hidden="1" x14ac:dyDescent="0.15">
      <c r="A102" s="1002"/>
      <c r="B102" s="1003" t="s">
        <v>73</v>
      </c>
      <c r="C102" s="1004">
        <f t="shared" si="31"/>
        <v>0</v>
      </c>
      <c r="D102" s="1004"/>
      <c r="E102" s="1005"/>
      <c r="F102" s="1006"/>
      <c r="G102" s="1007"/>
      <c r="H102" s="1004"/>
      <c r="I102" s="1004"/>
      <c r="J102" s="1008"/>
    </row>
    <row r="103" spans="1:10" s="904" customFormat="1" ht="14.25" customHeight="1" x14ac:dyDescent="0.15">
      <c r="A103" s="1410" t="s">
        <v>344</v>
      </c>
      <c r="B103" s="1411"/>
      <c r="C103" s="1411"/>
      <c r="D103" s="1411"/>
      <c r="E103" s="1411"/>
      <c r="F103" s="1411"/>
      <c r="G103" s="1411"/>
      <c r="H103" s="1411"/>
      <c r="I103" s="1411"/>
      <c r="J103" s="1412"/>
    </row>
    <row r="104" spans="1:10" x14ac:dyDescent="0.15">
      <c r="A104" s="1413" t="s">
        <v>328</v>
      </c>
      <c r="B104" s="875" t="s">
        <v>72</v>
      </c>
      <c r="C104" s="905">
        <f>D104+E104+F104+G104+H104+I104+J104</f>
        <v>107306.57</v>
      </c>
      <c r="D104" s="905">
        <f>D106+D110</f>
        <v>21272.02</v>
      </c>
      <c r="E104" s="906">
        <f t="shared" ref="E104:J105" si="32">E106+E110</f>
        <v>30348.42</v>
      </c>
      <c r="F104" s="832">
        <f t="shared" si="32"/>
        <v>21742.19</v>
      </c>
      <c r="G104" s="907">
        <f t="shared" si="32"/>
        <v>14891.27</v>
      </c>
      <c r="H104" s="905">
        <f t="shared" si="32"/>
        <v>10778.48</v>
      </c>
      <c r="I104" s="905">
        <f t="shared" si="32"/>
        <v>8274.19</v>
      </c>
      <c r="J104" s="908">
        <f t="shared" si="32"/>
        <v>0</v>
      </c>
    </row>
    <row r="105" spans="1:10" ht="14" thickBot="1" x14ac:dyDescent="0.2">
      <c r="A105" s="1414"/>
      <c r="B105" s="909" t="s">
        <v>73</v>
      </c>
      <c r="C105" s="1013">
        <f>D105+E105+F105+G105+H105+I105+J105</f>
        <v>96424.38</v>
      </c>
      <c r="D105" s="1013">
        <f>D107+D111</f>
        <v>21272.02</v>
      </c>
      <c r="E105" s="1014">
        <f t="shared" si="32"/>
        <v>30348.42</v>
      </c>
      <c r="F105" s="1015">
        <f t="shared" si="32"/>
        <v>10860</v>
      </c>
      <c r="G105" s="1016">
        <f t="shared" si="32"/>
        <v>14891.27</v>
      </c>
      <c r="H105" s="1013">
        <f t="shared" si="32"/>
        <v>10778.48</v>
      </c>
      <c r="I105" s="1013">
        <f t="shared" si="32"/>
        <v>8274.19</v>
      </c>
      <c r="J105" s="1017">
        <f t="shared" si="32"/>
        <v>0</v>
      </c>
    </row>
    <row r="106" spans="1:10" x14ac:dyDescent="0.15">
      <c r="A106" s="1023" t="s">
        <v>329</v>
      </c>
      <c r="B106" s="1024" t="s">
        <v>72</v>
      </c>
      <c r="C106" s="1025">
        <f>C108</f>
        <v>8523.19</v>
      </c>
      <c r="D106" s="1025">
        <f>D108</f>
        <v>0</v>
      </c>
      <c r="E106" s="1026">
        <f t="shared" ref="E106:J107" si="33">E108</f>
        <v>0</v>
      </c>
      <c r="F106" s="1027">
        <f t="shared" si="33"/>
        <v>8523.19</v>
      </c>
      <c r="G106" s="1028">
        <f t="shared" si="33"/>
        <v>0</v>
      </c>
      <c r="H106" s="1025">
        <f t="shared" si="33"/>
        <v>0</v>
      </c>
      <c r="I106" s="1025">
        <f t="shared" si="33"/>
        <v>0</v>
      </c>
      <c r="J106" s="1029">
        <f t="shared" si="33"/>
        <v>0</v>
      </c>
    </row>
    <row r="107" spans="1:10" x14ac:dyDescent="0.15">
      <c r="A107" s="1030" t="s">
        <v>330</v>
      </c>
      <c r="B107" s="849" t="s">
        <v>73</v>
      </c>
      <c r="C107" s="1031">
        <f>C109</f>
        <v>0</v>
      </c>
      <c r="D107" s="1031">
        <f>D109</f>
        <v>0</v>
      </c>
      <c r="E107" s="1032">
        <f t="shared" si="33"/>
        <v>0</v>
      </c>
      <c r="F107" s="1033">
        <f t="shared" si="33"/>
        <v>0</v>
      </c>
      <c r="G107" s="1034">
        <f t="shared" si="33"/>
        <v>0</v>
      </c>
      <c r="H107" s="1031">
        <f t="shared" si="33"/>
        <v>0</v>
      </c>
      <c r="I107" s="1031">
        <f t="shared" si="33"/>
        <v>0</v>
      </c>
      <c r="J107" s="1035">
        <f t="shared" si="33"/>
        <v>0</v>
      </c>
    </row>
    <row r="108" spans="1:10" ht="14.25" customHeight="1" x14ac:dyDescent="0.15">
      <c r="A108" s="1415" t="s">
        <v>331</v>
      </c>
      <c r="B108" s="842" t="s">
        <v>72</v>
      </c>
      <c r="C108" s="1036">
        <f t="shared" ref="C108" si="34">D108+E108+F108+G108+H108+I108+J108</f>
        <v>8523.19</v>
      </c>
      <c r="D108" s="1036">
        <f t="shared" ref="D108:J109" si="35">D123+D156+D517+D542+D567+D594</f>
        <v>0</v>
      </c>
      <c r="E108" s="1037">
        <f t="shared" si="35"/>
        <v>0</v>
      </c>
      <c r="F108" s="1038">
        <f t="shared" si="35"/>
        <v>8523.19</v>
      </c>
      <c r="G108" s="1039">
        <f t="shared" si="35"/>
        <v>0</v>
      </c>
      <c r="H108" s="1036">
        <f t="shared" si="35"/>
        <v>0</v>
      </c>
      <c r="I108" s="1036">
        <f t="shared" si="35"/>
        <v>0</v>
      </c>
      <c r="J108" s="1040">
        <f t="shared" si="35"/>
        <v>0</v>
      </c>
    </row>
    <row r="109" spans="1:10" ht="15" customHeight="1" x14ac:dyDescent="0.15">
      <c r="A109" s="1416"/>
      <c r="B109" s="849" t="s">
        <v>73</v>
      </c>
      <c r="C109" s="1041">
        <f>D109+E109+F109+G109+H109+I109+J109</f>
        <v>0</v>
      </c>
      <c r="D109" s="1041">
        <f t="shared" si="35"/>
        <v>0</v>
      </c>
      <c r="E109" s="1042">
        <f t="shared" si="35"/>
        <v>0</v>
      </c>
      <c r="F109" s="1043">
        <f t="shared" si="35"/>
        <v>0</v>
      </c>
      <c r="G109" s="1044">
        <f t="shared" si="35"/>
        <v>0</v>
      </c>
      <c r="H109" s="1041">
        <f t="shared" si="35"/>
        <v>0</v>
      </c>
      <c r="I109" s="1041">
        <f t="shared" si="35"/>
        <v>0</v>
      </c>
      <c r="J109" s="1045">
        <f t="shared" si="35"/>
        <v>0</v>
      </c>
    </row>
    <row r="110" spans="1:10" ht="15.75" customHeight="1" x14ac:dyDescent="0.15">
      <c r="A110" s="866" t="s">
        <v>332</v>
      </c>
      <c r="B110" s="842" t="s">
        <v>72</v>
      </c>
      <c r="C110" s="843">
        <f>C112</f>
        <v>98783.38</v>
      </c>
      <c r="D110" s="843">
        <f>D112</f>
        <v>21272.02</v>
      </c>
      <c r="E110" s="844">
        <f t="shared" ref="E110:J111" si="36">E112</f>
        <v>30348.42</v>
      </c>
      <c r="F110" s="845">
        <f t="shared" si="36"/>
        <v>13219</v>
      </c>
      <c r="G110" s="846">
        <f t="shared" si="36"/>
        <v>14891.27</v>
      </c>
      <c r="H110" s="843">
        <f t="shared" si="36"/>
        <v>10778.48</v>
      </c>
      <c r="I110" s="843">
        <f t="shared" si="36"/>
        <v>8274.19</v>
      </c>
      <c r="J110" s="847">
        <f t="shared" si="36"/>
        <v>0</v>
      </c>
    </row>
    <row r="111" spans="1:10" ht="15" customHeight="1" x14ac:dyDescent="0.15">
      <c r="A111" s="867" t="s">
        <v>330</v>
      </c>
      <c r="B111" s="868" t="s">
        <v>73</v>
      </c>
      <c r="C111" s="869">
        <f>C113</f>
        <v>96424.38</v>
      </c>
      <c r="D111" s="869">
        <f>D113</f>
        <v>21272.02</v>
      </c>
      <c r="E111" s="870">
        <f t="shared" si="36"/>
        <v>30348.42</v>
      </c>
      <c r="F111" s="871">
        <f t="shared" si="36"/>
        <v>10860</v>
      </c>
      <c r="G111" s="872">
        <f t="shared" si="36"/>
        <v>14891.27</v>
      </c>
      <c r="H111" s="869">
        <f t="shared" si="36"/>
        <v>10778.48</v>
      </c>
      <c r="I111" s="869">
        <f t="shared" si="36"/>
        <v>8274.19</v>
      </c>
      <c r="J111" s="873">
        <f t="shared" si="36"/>
        <v>0</v>
      </c>
    </row>
    <row r="112" spans="1:10" ht="15" customHeight="1" x14ac:dyDescent="0.15">
      <c r="A112" s="945" t="s">
        <v>333</v>
      </c>
      <c r="B112" s="875" t="s">
        <v>72</v>
      </c>
      <c r="C112" s="855">
        <f>C114+C116</f>
        <v>98783.38</v>
      </c>
      <c r="D112" s="855">
        <f>D114+D116</f>
        <v>21272.02</v>
      </c>
      <c r="E112" s="856">
        <f t="shared" ref="E112:J113" si="37">E114+E116</f>
        <v>30348.42</v>
      </c>
      <c r="F112" s="857">
        <f t="shared" si="37"/>
        <v>13219</v>
      </c>
      <c r="G112" s="858">
        <f t="shared" si="37"/>
        <v>14891.27</v>
      </c>
      <c r="H112" s="855">
        <f t="shared" si="37"/>
        <v>10778.48</v>
      </c>
      <c r="I112" s="855">
        <f t="shared" si="37"/>
        <v>8274.19</v>
      </c>
      <c r="J112" s="859">
        <f t="shared" si="37"/>
        <v>0</v>
      </c>
    </row>
    <row r="113" spans="1:10" ht="15.75" customHeight="1" x14ac:dyDescent="0.15">
      <c r="A113" s="867" t="s">
        <v>330</v>
      </c>
      <c r="B113" s="876" t="s">
        <v>73</v>
      </c>
      <c r="C113" s="877">
        <f>C115+C117</f>
        <v>96424.38</v>
      </c>
      <c r="D113" s="877">
        <f>D115+D117</f>
        <v>21272.02</v>
      </c>
      <c r="E113" s="878">
        <f t="shared" si="37"/>
        <v>30348.42</v>
      </c>
      <c r="F113" s="879">
        <f t="shared" si="37"/>
        <v>10860</v>
      </c>
      <c r="G113" s="880">
        <f t="shared" si="37"/>
        <v>14891.27</v>
      </c>
      <c r="H113" s="877">
        <f t="shared" si="37"/>
        <v>10778.48</v>
      </c>
      <c r="I113" s="877">
        <f t="shared" si="37"/>
        <v>8274.19</v>
      </c>
      <c r="J113" s="881">
        <f t="shared" si="37"/>
        <v>0</v>
      </c>
    </row>
    <row r="114" spans="1:10" ht="16.5" customHeight="1" x14ac:dyDescent="0.15">
      <c r="A114" s="956" t="s">
        <v>334</v>
      </c>
      <c r="B114" s="842" t="s">
        <v>72</v>
      </c>
      <c r="C114" s="1036">
        <f t="shared" ref="C114" si="38">D114+E114+F114+G114+H114+I114+J114</f>
        <v>11803</v>
      </c>
      <c r="D114" s="1036">
        <f t="shared" ref="D114:J115" si="39">D135+D190+D525+D550+D577+D606</f>
        <v>0</v>
      </c>
      <c r="E114" s="1037">
        <f t="shared" si="39"/>
        <v>0</v>
      </c>
      <c r="F114" s="1038">
        <f t="shared" si="39"/>
        <v>11803</v>
      </c>
      <c r="G114" s="1039">
        <f t="shared" si="39"/>
        <v>0</v>
      </c>
      <c r="H114" s="1036">
        <f t="shared" si="39"/>
        <v>0</v>
      </c>
      <c r="I114" s="1036">
        <f t="shared" si="39"/>
        <v>0</v>
      </c>
      <c r="J114" s="1040">
        <f t="shared" si="39"/>
        <v>0</v>
      </c>
    </row>
    <row r="115" spans="1:10" ht="15.75" customHeight="1" x14ac:dyDescent="0.15">
      <c r="A115" s="957" t="s">
        <v>330</v>
      </c>
      <c r="B115" s="887" t="s">
        <v>73</v>
      </c>
      <c r="C115" s="1046">
        <f>D115+E115+F115+G115+H115+I115+J115</f>
        <v>9444</v>
      </c>
      <c r="D115" s="1046">
        <f t="shared" si="39"/>
        <v>0</v>
      </c>
      <c r="E115" s="1047">
        <f t="shared" si="39"/>
        <v>0</v>
      </c>
      <c r="F115" s="1048">
        <f t="shared" si="39"/>
        <v>9444</v>
      </c>
      <c r="G115" s="1049">
        <f t="shared" si="39"/>
        <v>0</v>
      </c>
      <c r="H115" s="1046">
        <f t="shared" si="39"/>
        <v>0</v>
      </c>
      <c r="I115" s="1046">
        <f t="shared" si="39"/>
        <v>0</v>
      </c>
      <c r="J115" s="1050">
        <f t="shared" si="39"/>
        <v>0</v>
      </c>
    </row>
    <row r="116" spans="1:10" ht="13.5" customHeight="1" x14ac:dyDescent="0.15">
      <c r="A116" s="993" t="s">
        <v>342</v>
      </c>
      <c r="B116" s="875" t="s">
        <v>72</v>
      </c>
      <c r="C116" s="1036">
        <f t="shared" ref="C116" si="40">D116+E116+F116+G116+H116+I116+J116</f>
        <v>86980.38</v>
      </c>
      <c r="D116" s="1036">
        <f t="shared" ref="D116:J117" si="41">D143+D422+D533+D556+D583+D628</f>
        <v>21272.02</v>
      </c>
      <c r="E116" s="1037">
        <f t="shared" si="41"/>
        <v>30348.42</v>
      </c>
      <c r="F116" s="1038">
        <f t="shared" si="41"/>
        <v>1416</v>
      </c>
      <c r="G116" s="1039">
        <f t="shared" si="41"/>
        <v>14891.27</v>
      </c>
      <c r="H116" s="1036">
        <f t="shared" si="41"/>
        <v>10778.48</v>
      </c>
      <c r="I116" s="1036">
        <f t="shared" si="41"/>
        <v>8274.19</v>
      </c>
      <c r="J116" s="1040">
        <f t="shared" si="41"/>
        <v>0</v>
      </c>
    </row>
    <row r="117" spans="1:10" ht="14.25" customHeight="1" x14ac:dyDescent="0.15">
      <c r="A117" s="994" t="s">
        <v>330</v>
      </c>
      <c r="B117" s="995" t="s">
        <v>73</v>
      </c>
      <c r="C117" s="1051">
        <f>D117+E117+F117+G117+H117+I117+J117</f>
        <v>86980.38</v>
      </c>
      <c r="D117" s="1051">
        <f t="shared" si="41"/>
        <v>21272.02</v>
      </c>
      <c r="E117" s="1052">
        <f t="shared" si="41"/>
        <v>30348.42</v>
      </c>
      <c r="F117" s="1053">
        <f t="shared" si="41"/>
        <v>1416</v>
      </c>
      <c r="G117" s="1054">
        <f t="shared" si="41"/>
        <v>14891.27</v>
      </c>
      <c r="H117" s="1051">
        <f t="shared" si="41"/>
        <v>10778.48</v>
      </c>
      <c r="I117" s="1051">
        <f t="shared" si="41"/>
        <v>8274.19</v>
      </c>
      <c r="J117" s="1055">
        <f t="shared" si="41"/>
        <v>0</v>
      </c>
    </row>
    <row r="118" spans="1:10" s="904" customFormat="1" ht="18.75" customHeight="1" x14ac:dyDescent="0.15">
      <c r="A118" s="1432" t="s">
        <v>345</v>
      </c>
      <c r="B118" s="1433"/>
      <c r="C118" s="1433"/>
      <c r="D118" s="1433"/>
      <c r="E118" s="1433"/>
      <c r="F118" s="1433"/>
      <c r="G118" s="1433"/>
      <c r="H118" s="1433"/>
      <c r="I118" s="1433"/>
      <c r="J118" s="1434"/>
    </row>
    <row r="119" spans="1:10" x14ac:dyDescent="0.15">
      <c r="A119" s="1413" t="s">
        <v>328</v>
      </c>
      <c r="B119" s="875" t="s">
        <v>72</v>
      </c>
      <c r="C119" s="905">
        <f>D119+E119+F119+G119+H119+I119+J119</f>
        <v>0</v>
      </c>
      <c r="D119" s="905">
        <f>D121+D131</f>
        <v>0</v>
      </c>
      <c r="E119" s="906">
        <f t="shared" ref="E119:J120" si="42">E121+E131</f>
        <v>0</v>
      </c>
      <c r="F119" s="832">
        <f t="shared" si="42"/>
        <v>0</v>
      </c>
      <c r="G119" s="907">
        <f t="shared" si="42"/>
        <v>0</v>
      </c>
      <c r="H119" s="905">
        <f t="shared" si="42"/>
        <v>0</v>
      </c>
      <c r="I119" s="905">
        <f t="shared" si="42"/>
        <v>0</v>
      </c>
      <c r="J119" s="908">
        <f t="shared" si="42"/>
        <v>0</v>
      </c>
    </row>
    <row r="120" spans="1:10" ht="14" thickBot="1" x14ac:dyDescent="0.2">
      <c r="A120" s="1414"/>
      <c r="B120" s="909" t="s">
        <v>73</v>
      </c>
      <c r="C120" s="1013">
        <f>D120+E120+F120+G120+H120+I120+J120</f>
        <v>0</v>
      </c>
      <c r="D120" s="1013">
        <f>D122+D132</f>
        <v>0</v>
      </c>
      <c r="E120" s="1014">
        <f t="shared" si="42"/>
        <v>0</v>
      </c>
      <c r="F120" s="1015">
        <f t="shared" si="42"/>
        <v>0</v>
      </c>
      <c r="G120" s="1016">
        <f t="shared" si="42"/>
        <v>0</v>
      </c>
      <c r="H120" s="1013">
        <f t="shared" si="42"/>
        <v>0</v>
      </c>
      <c r="I120" s="1013">
        <f t="shared" si="42"/>
        <v>0</v>
      </c>
      <c r="J120" s="1017">
        <f t="shared" si="42"/>
        <v>0</v>
      </c>
    </row>
    <row r="121" spans="1:10" x14ac:dyDescent="0.15">
      <c r="A121" s="841" t="s">
        <v>329</v>
      </c>
      <c r="B121" s="842" t="s">
        <v>72</v>
      </c>
      <c r="C121" s="843">
        <f>C123</f>
        <v>0</v>
      </c>
      <c r="D121" s="843">
        <f>D123</f>
        <v>0</v>
      </c>
      <c r="E121" s="844">
        <f t="shared" ref="E121:J122" si="43">E123</f>
        <v>0</v>
      </c>
      <c r="F121" s="845">
        <f t="shared" si="43"/>
        <v>0</v>
      </c>
      <c r="G121" s="846">
        <f t="shared" si="43"/>
        <v>0</v>
      </c>
      <c r="H121" s="843">
        <f t="shared" si="43"/>
        <v>0</v>
      </c>
      <c r="I121" s="843">
        <f t="shared" si="43"/>
        <v>0</v>
      </c>
      <c r="J121" s="847">
        <f t="shared" si="43"/>
        <v>0</v>
      </c>
    </row>
    <row r="122" spans="1:10" x14ac:dyDescent="0.15">
      <c r="A122" s="848" t="s">
        <v>330</v>
      </c>
      <c r="B122" s="849" t="s">
        <v>73</v>
      </c>
      <c r="C122" s="1031">
        <f>C124</f>
        <v>0</v>
      </c>
      <c r="D122" s="1031">
        <f>D124</f>
        <v>0</v>
      </c>
      <c r="E122" s="1032">
        <f t="shared" si="43"/>
        <v>0</v>
      </c>
      <c r="F122" s="1033">
        <f t="shared" si="43"/>
        <v>0</v>
      </c>
      <c r="G122" s="1034">
        <f t="shared" si="43"/>
        <v>0</v>
      </c>
      <c r="H122" s="1031">
        <f t="shared" si="43"/>
        <v>0</v>
      </c>
      <c r="I122" s="1031">
        <f t="shared" si="43"/>
        <v>0</v>
      </c>
      <c r="J122" s="1035">
        <f t="shared" si="43"/>
        <v>0</v>
      </c>
    </row>
    <row r="123" spans="1:10" ht="12.75" customHeight="1" x14ac:dyDescent="0.15">
      <c r="A123" s="1415" t="s">
        <v>331</v>
      </c>
      <c r="B123" s="842" t="s">
        <v>72</v>
      </c>
      <c r="C123" s="1036">
        <f t="shared" ref="C123" si="44">D123+E123+F123+G123+H123+I123+J123</f>
        <v>0</v>
      </c>
      <c r="D123" s="1036">
        <f>D125+D127+D129</f>
        <v>0</v>
      </c>
      <c r="E123" s="1037">
        <f t="shared" ref="E123:J124" si="45">E125+E127+E129</f>
        <v>0</v>
      </c>
      <c r="F123" s="1038">
        <f t="shared" si="45"/>
        <v>0</v>
      </c>
      <c r="G123" s="1039">
        <f t="shared" si="45"/>
        <v>0</v>
      </c>
      <c r="H123" s="1036">
        <f t="shared" si="45"/>
        <v>0</v>
      </c>
      <c r="I123" s="1036">
        <f t="shared" si="45"/>
        <v>0</v>
      </c>
      <c r="J123" s="1056">
        <f t="shared" si="45"/>
        <v>0</v>
      </c>
    </row>
    <row r="124" spans="1:10" x14ac:dyDescent="0.15">
      <c r="A124" s="1416"/>
      <c r="B124" s="849" t="s">
        <v>73</v>
      </c>
      <c r="C124" s="1041">
        <f>D124+E124+F124+G124+H124+I124+J124</f>
        <v>0</v>
      </c>
      <c r="D124" s="1041">
        <f>D126+D128+D130</f>
        <v>0</v>
      </c>
      <c r="E124" s="1042">
        <f t="shared" si="45"/>
        <v>0</v>
      </c>
      <c r="F124" s="1043">
        <f t="shared" si="45"/>
        <v>0</v>
      </c>
      <c r="G124" s="1044">
        <f t="shared" si="45"/>
        <v>0</v>
      </c>
      <c r="H124" s="1041">
        <f t="shared" si="45"/>
        <v>0</v>
      </c>
      <c r="I124" s="1041">
        <f t="shared" si="45"/>
        <v>0</v>
      </c>
      <c r="J124" s="1045">
        <f t="shared" si="45"/>
        <v>0</v>
      </c>
    </row>
    <row r="125" spans="1:10" x14ac:dyDescent="0.15">
      <c r="A125" s="926"/>
      <c r="B125" s="842" t="s">
        <v>72</v>
      </c>
      <c r="C125" s="1057">
        <f t="shared" ref="C125:C130" si="46">D125+E125+F125+G125+H125+I125+J125</f>
        <v>0</v>
      </c>
      <c r="D125" s="1057"/>
      <c r="E125" s="1058"/>
      <c r="F125" s="1059"/>
      <c r="G125" s="1060"/>
      <c r="H125" s="1057"/>
      <c r="I125" s="1057"/>
      <c r="J125" s="1061"/>
    </row>
    <row r="126" spans="1:10" x14ac:dyDescent="0.15">
      <c r="A126" s="928"/>
      <c r="B126" s="849" t="s">
        <v>73</v>
      </c>
      <c r="C126" s="1062">
        <f t="shared" si="46"/>
        <v>0</v>
      </c>
      <c r="D126" s="1062"/>
      <c r="E126" s="1063"/>
      <c r="F126" s="1064"/>
      <c r="G126" s="1065"/>
      <c r="H126" s="1062"/>
      <c r="I126" s="1062"/>
      <c r="J126" s="1066"/>
    </row>
    <row r="127" spans="1:10" hidden="1" x14ac:dyDescent="0.15">
      <c r="A127" s="926"/>
      <c r="B127" s="842" t="s">
        <v>72</v>
      </c>
      <c r="C127" s="1057">
        <f t="shared" si="46"/>
        <v>0</v>
      </c>
      <c r="D127" s="1057"/>
      <c r="E127" s="1058"/>
      <c r="F127" s="1059"/>
      <c r="G127" s="1060"/>
      <c r="H127" s="1057"/>
      <c r="I127" s="1057"/>
      <c r="J127" s="1061"/>
    </row>
    <row r="128" spans="1:10" hidden="1" x14ac:dyDescent="0.15">
      <c r="A128" s="928"/>
      <c r="B128" s="849" t="s">
        <v>73</v>
      </c>
      <c r="C128" s="1062">
        <f t="shared" si="46"/>
        <v>0</v>
      </c>
      <c r="D128" s="1062"/>
      <c r="E128" s="1063"/>
      <c r="F128" s="1064"/>
      <c r="G128" s="1065"/>
      <c r="H128" s="1062"/>
      <c r="I128" s="1062"/>
      <c r="J128" s="1066"/>
    </row>
    <row r="129" spans="1:10" hidden="1" x14ac:dyDescent="0.15">
      <c r="A129" s="926"/>
      <c r="B129" s="842" t="s">
        <v>72</v>
      </c>
      <c r="C129" s="1057">
        <f t="shared" si="46"/>
        <v>0</v>
      </c>
      <c r="D129" s="1057"/>
      <c r="E129" s="1058"/>
      <c r="F129" s="1059"/>
      <c r="G129" s="1060"/>
      <c r="H129" s="1057"/>
      <c r="I129" s="1057"/>
      <c r="J129" s="1061"/>
    </row>
    <row r="130" spans="1:10" ht="14" hidden="1" thickBot="1" x14ac:dyDescent="0.2">
      <c r="A130" s="934"/>
      <c r="B130" s="860" t="s">
        <v>73</v>
      </c>
      <c r="C130" s="1067">
        <f t="shared" si="46"/>
        <v>0</v>
      </c>
      <c r="D130" s="1067"/>
      <c r="E130" s="1068"/>
      <c r="F130" s="1069"/>
      <c r="G130" s="1070"/>
      <c r="H130" s="1067"/>
      <c r="I130" s="1067"/>
      <c r="J130" s="1071"/>
    </row>
    <row r="131" spans="1:10" x14ac:dyDescent="0.15">
      <c r="A131" s="866" t="s">
        <v>332</v>
      </c>
      <c r="B131" s="842" t="s">
        <v>72</v>
      </c>
      <c r="C131" s="843">
        <f>C133</f>
        <v>0</v>
      </c>
      <c r="D131" s="843">
        <f>D133</f>
        <v>0</v>
      </c>
      <c r="E131" s="844">
        <f t="shared" ref="E131:J132" si="47">E133</f>
        <v>0</v>
      </c>
      <c r="F131" s="845">
        <f t="shared" si="47"/>
        <v>0</v>
      </c>
      <c r="G131" s="846">
        <f t="shared" si="47"/>
        <v>0</v>
      </c>
      <c r="H131" s="843">
        <f t="shared" si="47"/>
        <v>0</v>
      </c>
      <c r="I131" s="843">
        <f t="shared" si="47"/>
        <v>0</v>
      </c>
      <c r="J131" s="847">
        <f t="shared" si="47"/>
        <v>0</v>
      </c>
    </row>
    <row r="132" spans="1:10" x14ac:dyDescent="0.15">
      <c r="A132" s="867" t="s">
        <v>330</v>
      </c>
      <c r="B132" s="868" t="s">
        <v>73</v>
      </c>
      <c r="C132" s="869">
        <f>C134</f>
        <v>0</v>
      </c>
      <c r="D132" s="869">
        <f>D134</f>
        <v>0</v>
      </c>
      <c r="E132" s="870">
        <f t="shared" si="47"/>
        <v>0</v>
      </c>
      <c r="F132" s="871">
        <f t="shared" si="47"/>
        <v>0</v>
      </c>
      <c r="G132" s="872">
        <f t="shared" si="47"/>
        <v>0</v>
      </c>
      <c r="H132" s="869">
        <f t="shared" si="47"/>
        <v>0</v>
      </c>
      <c r="I132" s="869">
        <f t="shared" si="47"/>
        <v>0</v>
      </c>
      <c r="J132" s="873">
        <f t="shared" si="47"/>
        <v>0</v>
      </c>
    </row>
    <row r="133" spans="1:10" x14ac:dyDescent="0.15">
      <c r="A133" s="945" t="s">
        <v>333</v>
      </c>
      <c r="B133" s="875" t="s">
        <v>72</v>
      </c>
      <c r="C133" s="855">
        <f>C135+C143</f>
        <v>0</v>
      </c>
      <c r="D133" s="855">
        <f>D135+D143</f>
        <v>0</v>
      </c>
      <c r="E133" s="856">
        <f t="shared" ref="E133:J134" si="48">E135+E143</f>
        <v>0</v>
      </c>
      <c r="F133" s="857">
        <f t="shared" si="48"/>
        <v>0</v>
      </c>
      <c r="G133" s="858">
        <f t="shared" si="48"/>
        <v>0</v>
      </c>
      <c r="H133" s="855">
        <f t="shared" si="48"/>
        <v>0</v>
      </c>
      <c r="I133" s="855">
        <f t="shared" si="48"/>
        <v>0</v>
      </c>
      <c r="J133" s="859">
        <f t="shared" si="48"/>
        <v>0</v>
      </c>
    </row>
    <row r="134" spans="1:10" x14ac:dyDescent="0.15">
      <c r="A134" s="867" t="s">
        <v>330</v>
      </c>
      <c r="B134" s="876" t="s">
        <v>73</v>
      </c>
      <c r="C134" s="877">
        <f>C136+C144</f>
        <v>0</v>
      </c>
      <c r="D134" s="877">
        <f>D136+D144</f>
        <v>0</v>
      </c>
      <c r="E134" s="878">
        <f t="shared" si="48"/>
        <v>0</v>
      </c>
      <c r="F134" s="879">
        <f t="shared" si="48"/>
        <v>0</v>
      </c>
      <c r="G134" s="880">
        <f t="shared" si="48"/>
        <v>0</v>
      </c>
      <c r="H134" s="877">
        <f t="shared" si="48"/>
        <v>0</v>
      </c>
      <c r="I134" s="877">
        <f t="shared" si="48"/>
        <v>0</v>
      </c>
      <c r="J134" s="881">
        <f t="shared" si="48"/>
        <v>0</v>
      </c>
    </row>
    <row r="135" spans="1:10" ht="15" customHeight="1" x14ac:dyDescent="0.15">
      <c r="A135" s="956" t="s">
        <v>334</v>
      </c>
      <c r="B135" s="842" t="s">
        <v>72</v>
      </c>
      <c r="C135" s="1036">
        <f t="shared" ref="C135" si="49">D135+E135+F135+G135+H135+I135+J135</f>
        <v>0</v>
      </c>
      <c r="D135" s="1036">
        <f>D137+D139+D141</f>
        <v>0</v>
      </c>
      <c r="E135" s="1037">
        <f t="shared" ref="E135:J136" si="50">E137+E139+E141</f>
        <v>0</v>
      </c>
      <c r="F135" s="1038">
        <f t="shared" si="50"/>
        <v>0</v>
      </c>
      <c r="G135" s="1039">
        <f t="shared" si="50"/>
        <v>0</v>
      </c>
      <c r="H135" s="1036">
        <f t="shared" si="50"/>
        <v>0</v>
      </c>
      <c r="I135" s="1036">
        <f t="shared" si="50"/>
        <v>0</v>
      </c>
      <c r="J135" s="1056">
        <f t="shared" si="50"/>
        <v>0</v>
      </c>
    </row>
    <row r="136" spans="1:10" ht="16.5" customHeight="1" x14ac:dyDescent="0.15">
      <c r="A136" s="957" t="s">
        <v>330</v>
      </c>
      <c r="B136" s="887" t="s">
        <v>73</v>
      </c>
      <c r="C136" s="1046">
        <f>D136+E136+F136+G136+H136+I136+J136</f>
        <v>0</v>
      </c>
      <c r="D136" s="1046">
        <f>D138+D140+D142</f>
        <v>0</v>
      </c>
      <c r="E136" s="1047">
        <f t="shared" si="50"/>
        <v>0</v>
      </c>
      <c r="F136" s="1048">
        <f t="shared" si="50"/>
        <v>0</v>
      </c>
      <c r="G136" s="1049">
        <f t="shared" si="50"/>
        <v>0</v>
      </c>
      <c r="H136" s="1046">
        <f t="shared" si="50"/>
        <v>0</v>
      </c>
      <c r="I136" s="1046">
        <f t="shared" si="50"/>
        <v>0</v>
      </c>
      <c r="J136" s="1050">
        <f t="shared" si="50"/>
        <v>0</v>
      </c>
    </row>
    <row r="137" spans="1:10" ht="16.5" customHeight="1" x14ac:dyDescent="0.15">
      <c r="A137" s="1001"/>
      <c r="B137" s="963" t="s">
        <v>72</v>
      </c>
      <c r="C137" s="1072">
        <f t="shared" ref="C137:C143" si="51">D137+E137+F137+G137+H137+I137+J137</f>
        <v>0</v>
      </c>
      <c r="D137" s="1072"/>
      <c r="E137" s="1073"/>
      <c r="F137" s="1074"/>
      <c r="G137" s="1075"/>
      <c r="H137" s="1072"/>
      <c r="I137" s="1072"/>
      <c r="J137" s="1076"/>
    </row>
    <row r="138" spans="1:10" x14ac:dyDescent="0.15">
      <c r="A138" s="1002"/>
      <c r="B138" s="969" t="s">
        <v>73</v>
      </c>
      <c r="C138" s="970">
        <f t="shared" si="51"/>
        <v>0</v>
      </c>
      <c r="D138" s="970"/>
      <c r="E138" s="971"/>
      <c r="F138" s="972"/>
      <c r="G138" s="973"/>
      <c r="H138" s="970"/>
      <c r="I138" s="970"/>
      <c r="J138" s="974"/>
    </row>
    <row r="139" spans="1:10" hidden="1" x14ac:dyDescent="0.15">
      <c r="A139" s="1001"/>
      <c r="B139" s="963" t="s">
        <v>72</v>
      </c>
      <c r="C139" s="1072">
        <f t="shared" si="51"/>
        <v>0</v>
      </c>
      <c r="D139" s="1072"/>
      <c r="E139" s="1073"/>
      <c r="F139" s="1074"/>
      <c r="G139" s="1075"/>
      <c r="H139" s="1072"/>
      <c r="I139" s="1072"/>
      <c r="J139" s="1076"/>
    </row>
    <row r="140" spans="1:10" hidden="1" x14ac:dyDescent="0.15">
      <c r="A140" s="1002"/>
      <c r="B140" s="969" t="s">
        <v>73</v>
      </c>
      <c r="C140" s="970">
        <f t="shared" si="51"/>
        <v>0</v>
      </c>
      <c r="D140" s="970"/>
      <c r="E140" s="971"/>
      <c r="F140" s="972"/>
      <c r="G140" s="973"/>
      <c r="H140" s="970"/>
      <c r="I140" s="970"/>
      <c r="J140" s="974"/>
    </row>
    <row r="141" spans="1:10" hidden="1" x14ac:dyDescent="0.15">
      <c r="A141" s="1001"/>
      <c r="B141" s="963" t="s">
        <v>72</v>
      </c>
      <c r="C141" s="1072">
        <f t="shared" si="51"/>
        <v>0</v>
      </c>
      <c r="D141" s="1072"/>
      <c r="E141" s="1073"/>
      <c r="F141" s="1074"/>
      <c r="G141" s="1075"/>
      <c r="H141" s="1072"/>
      <c r="I141" s="1072"/>
      <c r="J141" s="1076"/>
    </row>
    <row r="142" spans="1:10" hidden="1" x14ac:dyDescent="0.15">
      <c r="A142" s="1002"/>
      <c r="B142" s="969" t="s">
        <v>73</v>
      </c>
      <c r="C142" s="970">
        <f t="shared" si="51"/>
        <v>0</v>
      </c>
      <c r="D142" s="970"/>
      <c r="E142" s="971"/>
      <c r="F142" s="972"/>
      <c r="G142" s="973"/>
      <c r="H142" s="970"/>
      <c r="I142" s="970"/>
      <c r="J142" s="974"/>
    </row>
    <row r="143" spans="1:10" ht="15.75" customHeight="1" x14ac:dyDescent="0.15">
      <c r="A143" s="993" t="s">
        <v>342</v>
      </c>
      <c r="B143" s="875" t="s">
        <v>72</v>
      </c>
      <c r="C143" s="1036">
        <f t="shared" si="51"/>
        <v>0</v>
      </c>
      <c r="D143" s="1036">
        <f>D145+D147+D149</f>
        <v>0</v>
      </c>
      <c r="E143" s="1037">
        <f t="shared" ref="E143:J144" si="52">E145+E147+E149</f>
        <v>0</v>
      </c>
      <c r="F143" s="1038">
        <f t="shared" si="52"/>
        <v>0</v>
      </c>
      <c r="G143" s="1039">
        <f t="shared" si="52"/>
        <v>0</v>
      </c>
      <c r="H143" s="1036">
        <f t="shared" si="52"/>
        <v>0</v>
      </c>
      <c r="I143" s="1036">
        <f t="shared" si="52"/>
        <v>0</v>
      </c>
      <c r="J143" s="1040">
        <f t="shared" si="52"/>
        <v>0</v>
      </c>
    </row>
    <row r="144" spans="1:10" x14ac:dyDescent="0.15">
      <c r="A144" s="994" t="s">
        <v>330</v>
      </c>
      <c r="B144" s="995" t="s">
        <v>73</v>
      </c>
      <c r="C144" s="1051">
        <f>D144+E144+F144+G144+H144+I144+J144</f>
        <v>0</v>
      </c>
      <c r="D144" s="1051">
        <f>D146+D148+D150</f>
        <v>0</v>
      </c>
      <c r="E144" s="1052">
        <f t="shared" si="52"/>
        <v>0</v>
      </c>
      <c r="F144" s="1053">
        <f t="shared" si="52"/>
        <v>0</v>
      </c>
      <c r="G144" s="1054">
        <f t="shared" si="52"/>
        <v>0</v>
      </c>
      <c r="H144" s="1051">
        <f t="shared" si="52"/>
        <v>0</v>
      </c>
      <c r="I144" s="1051">
        <f t="shared" si="52"/>
        <v>0</v>
      </c>
      <c r="J144" s="1055">
        <f t="shared" si="52"/>
        <v>0</v>
      </c>
    </row>
    <row r="145" spans="1:11" x14ac:dyDescent="0.15">
      <c r="A145" s="1001"/>
      <c r="B145" s="963" t="s">
        <v>72</v>
      </c>
      <c r="C145" s="1077">
        <f t="shared" ref="C145:C150" si="53">D145+E145+F145+G145+H145+I145+J145</f>
        <v>0</v>
      </c>
      <c r="D145" s="964"/>
      <c r="E145" s="965"/>
      <c r="F145" s="966"/>
      <c r="G145" s="967"/>
      <c r="H145" s="964"/>
      <c r="I145" s="964"/>
      <c r="J145" s="968"/>
    </row>
    <row r="146" spans="1:11" x14ac:dyDescent="0.15">
      <c r="A146" s="1002"/>
      <c r="B146" s="1003" t="s">
        <v>73</v>
      </c>
      <c r="C146" s="1004">
        <f t="shared" si="53"/>
        <v>0</v>
      </c>
      <c r="D146" s="1004"/>
      <c r="E146" s="1005"/>
      <c r="F146" s="1006"/>
      <c r="G146" s="1007"/>
      <c r="H146" s="1004"/>
      <c r="I146" s="1004"/>
      <c r="J146" s="1008"/>
    </row>
    <row r="147" spans="1:11" hidden="1" x14ac:dyDescent="0.15">
      <c r="A147" s="1001"/>
      <c r="B147" s="963" t="s">
        <v>72</v>
      </c>
      <c r="C147" s="964">
        <f t="shared" si="53"/>
        <v>0</v>
      </c>
      <c r="D147" s="964"/>
      <c r="E147" s="965"/>
      <c r="F147" s="966"/>
      <c r="G147" s="967"/>
      <c r="H147" s="964"/>
      <c r="I147" s="964"/>
      <c r="J147" s="968"/>
    </row>
    <row r="148" spans="1:11" hidden="1" x14ac:dyDescent="0.15">
      <c r="A148" s="1002"/>
      <c r="B148" s="1003" t="s">
        <v>73</v>
      </c>
      <c r="C148" s="1004">
        <f t="shared" si="53"/>
        <v>0</v>
      </c>
      <c r="D148" s="1004"/>
      <c r="E148" s="1005"/>
      <c r="F148" s="1006"/>
      <c r="G148" s="1007"/>
      <c r="H148" s="1004"/>
      <c r="I148" s="1004"/>
      <c r="J148" s="1008"/>
    </row>
    <row r="149" spans="1:11" hidden="1" x14ac:dyDescent="0.15">
      <c r="A149" s="1001"/>
      <c r="B149" s="963" t="s">
        <v>72</v>
      </c>
      <c r="C149" s="964">
        <f t="shared" si="53"/>
        <v>0</v>
      </c>
      <c r="D149" s="964"/>
      <c r="E149" s="965"/>
      <c r="F149" s="966"/>
      <c r="G149" s="967"/>
      <c r="H149" s="964"/>
      <c r="I149" s="964"/>
      <c r="J149" s="968"/>
    </row>
    <row r="150" spans="1:11" hidden="1" x14ac:dyDescent="0.15">
      <c r="A150" s="1002"/>
      <c r="B150" s="1003" t="s">
        <v>73</v>
      </c>
      <c r="C150" s="1004">
        <f t="shared" si="53"/>
        <v>0</v>
      </c>
      <c r="D150" s="1004"/>
      <c r="E150" s="1005"/>
      <c r="F150" s="1006"/>
      <c r="G150" s="1007"/>
      <c r="H150" s="1004"/>
      <c r="I150" s="1004"/>
      <c r="J150" s="1008"/>
    </row>
    <row r="151" spans="1:11" s="904" customFormat="1" ht="18.75" customHeight="1" x14ac:dyDescent="0.15">
      <c r="A151" s="1432" t="s">
        <v>346</v>
      </c>
      <c r="B151" s="1433"/>
      <c r="C151" s="1433"/>
      <c r="D151" s="1433"/>
      <c r="E151" s="1433"/>
      <c r="F151" s="1433"/>
      <c r="G151" s="1433"/>
      <c r="H151" s="1433"/>
      <c r="I151" s="1433"/>
      <c r="J151" s="1434"/>
    </row>
    <row r="152" spans="1:11" x14ac:dyDescent="0.15">
      <c r="A152" s="1413" t="s">
        <v>328</v>
      </c>
      <c r="B152" s="875" t="s">
        <v>72</v>
      </c>
      <c r="C152" s="905">
        <f>D152+E152+F152+G152+H152+I152+J152</f>
        <v>88158.57</v>
      </c>
      <c r="D152" s="905">
        <f t="shared" ref="D152:J153" si="54">D154+D186</f>
        <v>21272.02</v>
      </c>
      <c r="E152" s="906">
        <f t="shared" si="54"/>
        <v>15142.42</v>
      </c>
      <c r="F152" s="832">
        <f t="shared" si="54"/>
        <v>17800.189999999999</v>
      </c>
      <c r="G152" s="907">
        <f t="shared" si="54"/>
        <v>14891.27</v>
      </c>
      <c r="H152" s="905">
        <f t="shared" si="54"/>
        <v>10778.48</v>
      </c>
      <c r="I152" s="905">
        <f t="shared" si="54"/>
        <v>8274.19</v>
      </c>
      <c r="J152" s="908">
        <f t="shared" si="54"/>
        <v>0</v>
      </c>
    </row>
    <row r="153" spans="1:11" ht="14" thickBot="1" x14ac:dyDescent="0.2">
      <c r="A153" s="1414"/>
      <c r="B153" s="909" t="s">
        <v>73</v>
      </c>
      <c r="C153" s="1013">
        <f>D153+E153+F153+G153+H153+I153+J153</f>
        <v>79635.38</v>
      </c>
      <c r="D153" s="1013">
        <f t="shared" si="54"/>
        <v>21272.02</v>
      </c>
      <c r="E153" s="1014">
        <f t="shared" si="54"/>
        <v>15142.42</v>
      </c>
      <c r="F153" s="1015">
        <f t="shared" si="54"/>
        <v>9277</v>
      </c>
      <c r="G153" s="1016">
        <f t="shared" si="54"/>
        <v>14891.27</v>
      </c>
      <c r="H153" s="1013">
        <f t="shared" si="54"/>
        <v>10778.48</v>
      </c>
      <c r="I153" s="1013">
        <f t="shared" si="54"/>
        <v>8274.19</v>
      </c>
      <c r="J153" s="1017">
        <f t="shared" si="54"/>
        <v>0</v>
      </c>
    </row>
    <row r="154" spans="1:11" x14ac:dyDescent="0.15">
      <c r="A154" s="841" t="s">
        <v>329</v>
      </c>
      <c r="B154" s="842" t="s">
        <v>72</v>
      </c>
      <c r="C154" s="843">
        <f>C156</f>
        <v>8523.19</v>
      </c>
      <c r="D154" s="843">
        <f t="shared" ref="D154:J155" si="55">D156</f>
        <v>0</v>
      </c>
      <c r="E154" s="844">
        <f t="shared" si="55"/>
        <v>0</v>
      </c>
      <c r="F154" s="845">
        <f t="shared" si="55"/>
        <v>8523.19</v>
      </c>
      <c r="G154" s="846">
        <f t="shared" si="55"/>
        <v>0</v>
      </c>
      <c r="H154" s="843">
        <f t="shared" si="55"/>
        <v>0</v>
      </c>
      <c r="I154" s="843">
        <f t="shared" si="55"/>
        <v>0</v>
      </c>
      <c r="J154" s="847">
        <f t="shared" si="55"/>
        <v>0</v>
      </c>
    </row>
    <row r="155" spans="1:11" x14ac:dyDescent="0.15">
      <c r="A155" s="848" t="s">
        <v>330</v>
      </c>
      <c r="B155" s="849" t="s">
        <v>73</v>
      </c>
      <c r="C155" s="1031">
        <f>C157</f>
        <v>0</v>
      </c>
      <c r="D155" s="1031">
        <f>D157</f>
        <v>0</v>
      </c>
      <c r="E155" s="1032">
        <f t="shared" si="55"/>
        <v>0</v>
      </c>
      <c r="F155" s="1033">
        <f t="shared" si="55"/>
        <v>0</v>
      </c>
      <c r="G155" s="1034">
        <f t="shared" si="55"/>
        <v>0</v>
      </c>
      <c r="H155" s="1031">
        <f t="shared" si="55"/>
        <v>0</v>
      </c>
      <c r="I155" s="1031">
        <f t="shared" si="55"/>
        <v>0</v>
      </c>
      <c r="J155" s="1035">
        <f t="shared" si="55"/>
        <v>0</v>
      </c>
    </row>
    <row r="156" spans="1:11" x14ac:dyDescent="0.15">
      <c r="A156" s="1415" t="s">
        <v>331</v>
      </c>
      <c r="B156" s="842" t="s">
        <v>72</v>
      </c>
      <c r="C156" s="1036">
        <f t="shared" ref="C156:C157" si="56">C158+C160+C162+C164+C166+C168+C170+C172+C174+C176+C178+C180+C182+C184</f>
        <v>8523.19</v>
      </c>
      <c r="D156" s="1036">
        <f>D158+D160+D162+D164+D166+D168+D170+D172+D174+D176+D178+D180+D182+D184</f>
        <v>0</v>
      </c>
      <c r="E156" s="1037">
        <f t="shared" ref="E156:J157" si="57">E158+E160+E162+E164+E166+E168+E170+E172+E174+E176+E178+E180+E182+E184</f>
        <v>0</v>
      </c>
      <c r="F156" s="1038">
        <f t="shared" si="57"/>
        <v>8523.19</v>
      </c>
      <c r="G156" s="1039">
        <f t="shared" si="57"/>
        <v>0</v>
      </c>
      <c r="H156" s="1036">
        <f t="shared" si="57"/>
        <v>0</v>
      </c>
      <c r="I156" s="1036">
        <f t="shared" si="57"/>
        <v>0</v>
      </c>
      <c r="J156" s="1056">
        <f t="shared" si="57"/>
        <v>0</v>
      </c>
    </row>
    <row r="157" spans="1:11" ht="12.75" customHeight="1" x14ac:dyDescent="0.15">
      <c r="A157" s="1416"/>
      <c r="B157" s="849" t="s">
        <v>73</v>
      </c>
      <c r="C157" s="1041">
        <f t="shared" si="56"/>
        <v>0</v>
      </c>
      <c r="D157" s="1041">
        <f>D159+D161+D163+D165+D167+D169+D171+D173+D175+D177+D179+D181+D183+D185</f>
        <v>0</v>
      </c>
      <c r="E157" s="1042">
        <f t="shared" si="57"/>
        <v>0</v>
      </c>
      <c r="F157" s="1043">
        <f t="shared" si="57"/>
        <v>0</v>
      </c>
      <c r="G157" s="1044">
        <f t="shared" si="57"/>
        <v>0</v>
      </c>
      <c r="H157" s="1041">
        <f t="shared" si="57"/>
        <v>0</v>
      </c>
      <c r="I157" s="1041">
        <f t="shared" si="57"/>
        <v>0</v>
      </c>
      <c r="J157" s="1045">
        <f t="shared" si="57"/>
        <v>0</v>
      </c>
    </row>
    <row r="158" spans="1:11" ht="12.75" customHeight="1" x14ac:dyDescent="0.15">
      <c r="A158" s="1438" t="s">
        <v>347</v>
      </c>
      <c r="B158" s="842" t="s">
        <v>72</v>
      </c>
      <c r="C158" s="1057">
        <f t="shared" ref="C158:C185" si="58">D158+E158+F158+G158+H158+I158+J158</f>
        <v>1379.54</v>
      </c>
      <c r="D158" s="882">
        <v>0</v>
      </c>
      <c r="E158" s="883">
        <v>0</v>
      </c>
      <c r="F158" s="884">
        <f>1379537.96/1000</f>
        <v>1379.54</v>
      </c>
      <c r="G158" s="885">
        <v>0</v>
      </c>
      <c r="H158" s="882">
        <v>0</v>
      </c>
      <c r="I158" s="882">
        <v>0</v>
      </c>
      <c r="J158" s="927">
        <v>0</v>
      </c>
      <c r="K158" s="1420" t="s">
        <v>348</v>
      </c>
    </row>
    <row r="159" spans="1:11" ht="12.75" customHeight="1" x14ac:dyDescent="0.15">
      <c r="A159" s="1439"/>
      <c r="B159" s="849" t="s">
        <v>73</v>
      </c>
      <c r="C159" s="1062">
        <f t="shared" si="58"/>
        <v>0</v>
      </c>
      <c r="D159" s="929">
        <v>0</v>
      </c>
      <c r="E159" s="930">
        <v>0</v>
      </c>
      <c r="F159" s="931">
        <v>0</v>
      </c>
      <c r="G159" s="932">
        <v>0</v>
      </c>
      <c r="H159" s="929">
        <v>0</v>
      </c>
      <c r="I159" s="929">
        <v>0</v>
      </c>
      <c r="J159" s="933">
        <v>0</v>
      </c>
      <c r="K159" s="1420"/>
    </row>
    <row r="160" spans="1:11" ht="12.75" customHeight="1" x14ac:dyDescent="0.15">
      <c r="A160" s="1438" t="s">
        <v>349</v>
      </c>
      <c r="B160" s="842" t="s">
        <v>72</v>
      </c>
      <c r="C160" s="1057">
        <f t="shared" si="58"/>
        <v>184.01</v>
      </c>
      <c r="D160" s="882">
        <v>0</v>
      </c>
      <c r="E160" s="883">
        <v>0</v>
      </c>
      <c r="F160" s="884">
        <f>184004.09/1000+0.01</f>
        <v>184.01</v>
      </c>
      <c r="G160" s="885">
        <v>0</v>
      </c>
      <c r="H160" s="882">
        <v>0</v>
      </c>
      <c r="I160" s="882">
        <v>0</v>
      </c>
      <c r="J160" s="927">
        <v>0</v>
      </c>
      <c r="K160" s="1420" t="s">
        <v>348</v>
      </c>
    </row>
    <row r="161" spans="1:11" ht="12.75" customHeight="1" x14ac:dyDescent="0.15">
      <c r="A161" s="1439"/>
      <c r="B161" s="849" t="s">
        <v>73</v>
      </c>
      <c r="C161" s="1062">
        <f t="shared" si="58"/>
        <v>0</v>
      </c>
      <c r="D161" s="929">
        <v>0</v>
      </c>
      <c r="E161" s="930">
        <v>0</v>
      </c>
      <c r="F161" s="931">
        <v>0</v>
      </c>
      <c r="G161" s="932">
        <v>0</v>
      </c>
      <c r="H161" s="929">
        <v>0</v>
      </c>
      <c r="I161" s="929">
        <v>0</v>
      </c>
      <c r="J161" s="933">
        <v>0</v>
      </c>
      <c r="K161" s="1420"/>
    </row>
    <row r="162" spans="1:11" ht="12.75" customHeight="1" x14ac:dyDescent="0.15">
      <c r="A162" s="1438" t="s">
        <v>350</v>
      </c>
      <c r="B162" s="842" t="s">
        <v>72</v>
      </c>
      <c r="C162" s="1057">
        <f t="shared" si="58"/>
        <v>2300.15</v>
      </c>
      <c r="D162" s="882">
        <v>0</v>
      </c>
      <c r="E162" s="883">
        <v>0</v>
      </c>
      <c r="F162" s="884">
        <f>2300149.63/1000</f>
        <v>2300.15</v>
      </c>
      <c r="G162" s="885">
        <v>0</v>
      </c>
      <c r="H162" s="882">
        <v>0</v>
      </c>
      <c r="I162" s="882">
        <v>0</v>
      </c>
      <c r="J162" s="927">
        <v>0</v>
      </c>
      <c r="K162" s="1420" t="s">
        <v>348</v>
      </c>
    </row>
    <row r="163" spans="1:11" ht="12.75" customHeight="1" x14ac:dyDescent="0.15">
      <c r="A163" s="1439"/>
      <c r="B163" s="1078" t="s">
        <v>73</v>
      </c>
      <c r="C163" s="1062">
        <f t="shared" si="58"/>
        <v>0</v>
      </c>
      <c r="D163" s="929">
        <v>0</v>
      </c>
      <c r="E163" s="930">
        <v>0</v>
      </c>
      <c r="F163" s="931">
        <v>0</v>
      </c>
      <c r="G163" s="932">
        <v>0</v>
      </c>
      <c r="H163" s="929">
        <v>0</v>
      </c>
      <c r="I163" s="929">
        <v>0</v>
      </c>
      <c r="J163" s="933">
        <v>0</v>
      </c>
      <c r="K163" s="1420"/>
    </row>
    <row r="164" spans="1:11" ht="15.75" customHeight="1" x14ac:dyDescent="0.15">
      <c r="A164" s="1438" t="s">
        <v>351</v>
      </c>
      <c r="B164" s="875" t="s">
        <v>72</v>
      </c>
      <c r="C164" s="1057">
        <f t="shared" si="58"/>
        <v>1209.83</v>
      </c>
      <c r="D164" s="882">
        <v>0</v>
      </c>
      <c r="E164" s="883">
        <v>0</v>
      </c>
      <c r="F164" s="884">
        <f>1209832.9/1000</f>
        <v>1209.83</v>
      </c>
      <c r="G164" s="885">
        <v>0</v>
      </c>
      <c r="H164" s="882">
        <v>0</v>
      </c>
      <c r="I164" s="882">
        <v>0</v>
      </c>
      <c r="J164" s="927">
        <v>0</v>
      </c>
      <c r="K164" s="1420" t="s">
        <v>348</v>
      </c>
    </row>
    <row r="165" spans="1:11" ht="15.75" customHeight="1" x14ac:dyDescent="0.15">
      <c r="A165" s="1439"/>
      <c r="B165" s="849" t="s">
        <v>73</v>
      </c>
      <c r="C165" s="1079">
        <f t="shared" si="58"/>
        <v>0</v>
      </c>
      <c r="D165" s="1018">
        <v>0</v>
      </c>
      <c r="E165" s="1019">
        <v>0</v>
      </c>
      <c r="F165" s="1020">
        <v>0</v>
      </c>
      <c r="G165" s="1021">
        <v>0</v>
      </c>
      <c r="H165" s="1018">
        <v>0</v>
      </c>
      <c r="I165" s="1018">
        <v>0</v>
      </c>
      <c r="J165" s="1022">
        <v>0</v>
      </c>
      <c r="K165" s="1420"/>
    </row>
    <row r="166" spans="1:11" ht="16.5" customHeight="1" x14ac:dyDescent="0.15">
      <c r="A166" s="1438" t="s">
        <v>352</v>
      </c>
      <c r="B166" s="842" t="s">
        <v>72</v>
      </c>
      <c r="C166" s="1057">
        <f t="shared" si="58"/>
        <v>1149.6099999999999</v>
      </c>
      <c r="D166" s="882">
        <v>0</v>
      </c>
      <c r="E166" s="883">
        <v>0</v>
      </c>
      <c r="F166" s="884">
        <f>1149614.97/1000</f>
        <v>1149.6099999999999</v>
      </c>
      <c r="G166" s="885">
        <v>0</v>
      </c>
      <c r="H166" s="882">
        <v>0</v>
      </c>
      <c r="I166" s="882">
        <v>0</v>
      </c>
      <c r="J166" s="927">
        <v>0</v>
      </c>
      <c r="K166" s="1420" t="s">
        <v>348</v>
      </c>
    </row>
    <row r="167" spans="1:11" ht="15" customHeight="1" x14ac:dyDescent="0.15">
      <c r="A167" s="1439"/>
      <c r="B167" s="849" t="s">
        <v>73</v>
      </c>
      <c r="C167" s="1062">
        <f t="shared" si="58"/>
        <v>0</v>
      </c>
      <c r="D167" s="929">
        <v>0</v>
      </c>
      <c r="E167" s="930">
        <v>0</v>
      </c>
      <c r="F167" s="931">
        <v>0</v>
      </c>
      <c r="G167" s="932">
        <v>0</v>
      </c>
      <c r="H167" s="929">
        <v>0</v>
      </c>
      <c r="I167" s="929">
        <v>0</v>
      </c>
      <c r="J167" s="933">
        <v>0</v>
      </c>
      <c r="K167" s="1420"/>
    </row>
    <row r="168" spans="1:11" ht="14.25" customHeight="1" x14ac:dyDescent="0.15">
      <c r="A168" s="1438" t="s">
        <v>353</v>
      </c>
      <c r="B168" s="842" t="s">
        <v>72</v>
      </c>
      <c r="C168" s="1057">
        <f t="shared" si="58"/>
        <v>2300.0500000000002</v>
      </c>
      <c r="D168" s="882">
        <v>0</v>
      </c>
      <c r="E168" s="883">
        <v>0</v>
      </c>
      <c r="F168" s="884">
        <f>2300051/1000</f>
        <v>2300.0500000000002</v>
      </c>
      <c r="G168" s="885">
        <v>0</v>
      </c>
      <c r="H168" s="882">
        <v>0</v>
      </c>
      <c r="I168" s="882">
        <v>0</v>
      </c>
      <c r="J168" s="927">
        <v>0</v>
      </c>
      <c r="K168" s="1420" t="s">
        <v>348</v>
      </c>
    </row>
    <row r="169" spans="1:11" ht="15" customHeight="1" x14ac:dyDescent="0.15">
      <c r="A169" s="1439"/>
      <c r="B169" s="849" t="s">
        <v>73</v>
      </c>
      <c r="C169" s="1062">
        <f t="shared" si="58"/>
        <v>0</v>
      </c>
      <c r="D169" s="929">
        <v>0</v>
      </c>
      <c r="E169" s="930">
        <v>0</v>
      </c>
      <c r="F169" s="931">
        <v>0</v>
      </c>
      <c r="G169" s="932">
        <v>0</v>
      </c>
      <c r="H169" s="929">
        <v>0</v>
      </c>
      <c r="I169" s="929">
        <v>0</v>
      </c>
      <c r="J169" s="933">
        <v>0</v>
      </c>
      <c r="K169" s="1420"/>
    </row>
    <row r="170" spans="1:11" ht="12.75" hidden="1" customHeight="1" x14ac:dyDescent="0.15">
      <c r="A170" s="926"/>
      <c r="B170" s="842" t="s">
        <v>72</v>
      </c>
      <c r="C170" s="1057">
        <f t="shared" si="58"/>
        <v>0</v>
      </c>
      <c r="D170" s="882"/>
      <c r="E170" s="883"/>
      <c r="F170" s="884"/>
      <c r="G170" s="885"/>
      <c r="H170" s="882"/>
      <c r="I170" s="882"/>
      <c r="J170" s="927"/>
    </row>
    <row r="171" spans="1:11" ht="12.75" hidden="1" customHeight="1" x14ac:dyDescent="0.15">
      <c r="A171" s="928"/>
      <c r="B171" s="849" t="s">
        <v>73</v>
      </c>
      <c r="C171" s="1062">
        <f t="shared" si="58"/>
        <v>0</v>
      </c>
      <c r="D171" s="929"/>
      <c r="E171" s="930"/>
      <c r="F171" s="931"/>
      <c r="G171" s="932"/>
      <c r="H171" s="929"/>
      <c r="I171" s="929"/>
      <c r="J171" s="933"/>
    </row>
    <row r="172" spans="1:11" ht="12.75" hidden="1" customHeight="1" x14ac:dyDescent="0.15">
      <c r="A172" s="926"/>
      <c r="B172" s="875" t="s">
        <v>72</v>
      </c>
      <c r="C172" s="1057">
        <f t="shared" si="58"/>
        <v>0</v>
      </c>
      <c r="D172" s="882"/>
      <c r="E172" s="883"/>
      <c r="F172" s="884"/>
      <c r="G172" s="885"/>
      <c r="H172" s="882"/>
      <c r="I172" s="882"/>
      <c r="J172" s="927"/>
    </row>
    <row r="173" spans="1:11" ht="12.75" hidden="1" customHeight="1" x14ac:dyDescent="0.15">
      <c r="A173" s="928"/>
      <c r="B173" s="849" t="s">
        <v>73</v>
      </c>
      <c r="C173" s="1079">
        <f t="shared" si="58"/>
        <v>0</v>
      </c>
      <c r="D173" s="1018"/>
      <c r="E173" s="1019"/>
      <c r="F173" s="1020"/>
      <c r="G173" s="1021"/>
      <c r="H173" s="1018"/>
      <c r="I173" s="1018"/>
      <c r="J173" s="1022"/>
    </row>
    <row r="174" spans="1:11" ht="12.75" hidden="1" customHeight="1" x14ac:dyDescent="0.15">
      <c r="A174" s="926"/>
      <c r="B174" s="842" t="s">
        <v>72</v>
      </c>
      <c r="C174" s="1057">
        <f t="shared" si="58"/>
        <v>0</v>
      </c>
      <c r="D174" s="882"/>
      <c r="E174" s="883"/>
      <c r="F174" s="884"/>
      <c r="G174" s="885"/>
      <c r="H174" s="882"/>
      <c r="I174" s="882"/>
      <c r="J174" s="927"/>
    </row>
    <row r="175" spans="1:11" ht="12.75" hidden="1" customHeight="1" x14ac:dyDescent="0.15">
      <c r="A175" s="928"/>
      <c r="B175" s="849" t="s">
        <v>73</v>
      </c>
      <c r="C175" s="1062">
        <f t="shared" si="58"/>
        <v>0</v>
      </c>
      <c r="D175" s="929"/>
      <c r="E175" s="930"/>
      <c r="F175" s="931"/>
      <c r="G175" s="932"/>
      <c r="H175" s="929"/>
      <c r="I175" s="929"/>
      <c r="J175" s="933"/>
    </row>
    <row r="176" spans="1:11" ht="12.75" hidden="1" customHeight="1" x14ac:dyDescent="0.15">
      <c r="A176" s="926"/>
      <c r="B176" s="842" t="s">
        <v>72</v>
      </c>
      <c r="C176" s="1057">
        <f t="shared" si="58"/>
        <v>0</v>
      </c>
      <c r="D176" s="882"/>
      <c r="E176" s="883"/>
      <c r="F176" s="884"/>
      <c r="G176" s="885"/>
      <c r="H176" s="882"/>
      <c r="I176" s="882"/>
      <c r="J176" s="927"/>
    </row>
    <row r="177" spans="1:11" ht="12.75" hidden="1" customHeight="1" x14ac:dyDescent="0.15">
      <c r="A177" s="928"/>
      <c r="B177" s="849" t="s">
        <v>73</v>
      </c>
      <c r="C177" s="1062">
        <f t="shared" si="58"/>
        <v>0</v>
      </c>
      <c r="D177" s="929"/>
      <c r="E177" s="930"/>
      <c r="F177" s="931"/>
      <c r="G177" s="932"/>
      <c r="H177" s="929"/>
      <c r="I177" s="929"/>
      <c r="J177" s="933"/>
    </row>
    <row r="178" spans="1:11" ht="12.75" hidden="1" customHeight="1" x14ac:dyDescent="0.15">
      <c r="A178" s="926"/>
      <c r="B178" s="842" t="s">
        <v>72</v>
      </c>
      <c r="C178" s="1057">
        <f t="shared" si="58"/>
        <v>0</v>
      </c>
      <c r="D178" s="882"/>
      <c r="E178" s="883"/>
      <c r="F178" s="884"/>
      <c r="G178" s="885"/>
      <c r="H178" s="882"/>
      <c r="I178" s="882"/>
      <c r="J178" s="927"/>
    </row>
    <row r="179" spans="1:11" ht="12.75" hidden="1" customHeight="1" x14ac:dyDescent="0.15">
      <c r="A179" s="1080"/>
      <c r="B179" s="1078" t="s">
        <v>73</v>
      </c>
      <c r="C179" s="1062">
        <f t="shared" si="58"/>
        <v>0</v>
      </c>
      <c r="D179" s="929"/>
      <c r="E179" s="930"/>
      <c r="F179" s="931"/>
      <c r="G179" s="932"/>
      <c r="H179" s="929"/>
      <c r="I179" s="929"/>
      <c r="J179" s="933"/>
    </row>
    <row r="180" spans="1:11" ht="12.75" hidden="1" customHeight="1" x14ac:dyDescent="0.15">
      <c r="A180" s="926"/>
      <c r="B180" s="875" t="s">
        <v>72</v>
      </c>
      <c r="C180" s="1057">
        <f t="shared" si="58"/>
        <v>0</v>
      </c>
      <c r="D180" s="882"/>
      <c r="E180" s="883"/>
      <c r="F180" s="884"/>
      <c r="G180" s="885"/>
      <c r="H180" s="882"/>
      <c r="I180" s="882"/>
      <c r="J180" s="927"/>
    </row>
    <row r="181" spans="1:11" ht="12.75" hidden="1" customHeight="1" x14ac:dyDescent="0.15">
      <c r="A181" s="928"/>
      <c r="B181" s="849" t="s">
        <v>73</v>
      </c>
      <c r="C181" s="1079">
        <f t="shared" si="58"/>
        <v>0</v>
      </c>
      <c r="D181" s="1018"/>
      <c r="E181" s="1019"/>
      <c r="F181" s="1020"/>
      <c r="G181" s="1021"/>
      <c r="H181" s="1018"/>
      <c r="I181" s="1018"/>
      <c r="J181" s="1022"/>
    </row>
    <row r="182" spans="1:11" ht="12.75" hidden="1" customHeight="1" x14ac:dyDescent="0.15">
      <c r="A182" s="926"/>
      <c r="B182" s="842" t="s">
        <v>72</v>
      </c>
      <c r="C182" s="1057">
        <f t="shared" si="58"/>
        <v>0</v>
      </c>
      <c r="D182" s="882"/>
      <c r="E182" s="883"/>
      <c r="F182" s="884"/>
      <c r="G182" s="885"/>
      <c r="H182" s="882"/>
      <c r="I182" s="882"/>
      <c r="J182" s="927"/>
    </row>
    <row r="183" spans="1:11" ht="12.75" hidden="1" customHeight="1" x14ac:dyDescent="0.15">
      <c r="A183" s="928"/>
      <c r="B183" s="849" t="s">
        <v>73</v>
      </c>
      <c r="C183" s="1062">
        <f t="shared" si="58"/>
        <v>0</v>
      </c>
      <c r="D183" s="929"/>
      <c r="E183" s="930"/>
      <c r="F183" s="931"/>
      <c r="G183" s="932"/>
      <c r="H183" s="929"/>
      <c r="I183" s="929"/>
      <c r="J183" s="933"/>
    </row>
    <row r="184" spans="1:11" ht="15.75" customHeight="1" x14ac:dyDescent="0.15">
      <c r="A184" s="926"/>
      <c r="B184" s="842" t="s">
        <v>72</v>
      </c>
      <c r="C184" s="1057">
        <f t="shared" si="58"/>
        <v>0</v>
      </c>
      <c r="D184" s="882"/>
      <c r="E184" s="883"/>
      <c r="F184" s="884"/>
      <c r="G184" s="885"/>
      <c r="H184" s="882"/>
      <c r="I184" s="882"/>
      <c r="J184" s="927"/>
    </row>
    <row r="185" spans="1:11" ht="16.5" customHeight="1" thickBot="1" x14ac:dyDescent="0.2">
      <c r="A185" s="934"/>
      <c r="B185" s="860" t="s">
        <v>73</v>
      </c>
      <c r="C185" s="1067">
        <f t="shared" si="58"/>
        <v>0</v>
      </c>
      <c r="D185" s="935"/>
      <c r="E185" s="936"/>
      <c r="F185" s="937"/>
      <c r="G185" s="938"/>
      <c r="H185" s="935"/>
      <c r="I185" s="935"/>
      <c r="J185" s="939"/>
    </row>
    <row r="186" spans="1:11" ht="12.75" customHeight="1" x14ac:dyDescent="0.15">
      <c r="A186" s="866" t="s">
        <v>332</v>
      </c>
      <c r="B186" s="842" t="s">
        <v>72</v>
      </c>
      <c r="C186" s="843">
        <f>C188</f>
        <v>79635.38</v>
      </c>
      <c r="D186" s="843">
        <f>D188</f>
        <v>21272.02</v>
      </c>
      <c r="E186" s="844">
        <f t="shared" ref="E186:J187" si="59">E188</f>
        <v>15142.42</v>
      </c>
      <c r="F186" s="845">
        <f t="shared" si="59"/>
        <v>9277</v>
      </c>
      <c r="G186" s="846">
        <f t="shared" si="59"/>
        <v>14891.27</v>
      </c>
      <c r="H186" s="843">
        <f t="shared" si="59"/>
        <v>10778.48</v>
      </c>
      <c r="I186" s="843">
        <f t="shared" si="59"/>
        <v>8274.19</v>
      </c>
      <c r="J186" s="847">
        <f t="shared" si="59"/>
        <v>0</v>
      </c>
    </row>
    <row r="187" spans="1:11" x14ac:dyDescent="0.15">
      <c r="A187" s="867" t="s">
        <v>330</v>
      </c>
      <c r="B187" s="868" t="s">
        <v>73</v>
      </c>
      <c r="C187" s="869">
        <f>C189</f>
        <v>79635.38</v>
      </c>
      <c r="D187" s="869">
        <f>D189</f>
        <v>21272.02</v>
      </c>
      <c r="E187" s="870">
        <f t="shared" si="59"/>
        <v>15142.42</v>
      </c>
      <c r="F187" s="871">
        <f t="shared" si="59"/>
        <v>9277</v>
      </c>
      <c r="G187" s="872">
        <f t="shared" si="59"/>
        <v>14891.27</v>
      </c>
      <c r="H187" s="869">
        <f t="shared" si="59"/>
        <v>10778.48</v>
      </c>
      <c r="I187" s="869">
        <f t="shared" si="59"/>
        <v>8274.19</v>
      </c>
      <c r="J187" s="873">
        <f t="shared" si="59"/>
        <v>0</v>
      </c>
    </row>
    <row r="188" spans="1:11" x14ac:dyDescent="0.15">
      <c r="A188" s="945" t="s">
        <v>333</v>
      </c>
      <c r="B188" s="875" t="s">
        <v>72</v>
      </c>
      <c r="C188" s="855">
        <f t="shared" ref="C188:J189" si="60">C190+C422</f>
        <v>79635.38</v>
      </c>
      <c r="D188" s="855">
        <f t="shared" si="60"/>
        <v>21272.02</v>
      </c>
      <c r="E188" s="856">
        <f t="shared" si="60"/>
        <v>15142.42</v>
      </c>
      <c r="F188" s="857">
        <f t="shared" si="60"/>
        <v>9277</v>
      </c>
      <c r="G188" s="858">
        <f t="shared" si="60"/>
        <v>14891.27</v>
      </c>
      <c r="H188" s="855">
        <f t="shared" si="60"/>
        <v>10778.48</v>
      </c>
      <c r="I188" s="855">
        <f t="shared" si="60"/>
        <v>8274.19</v>
      </c>
      <c r="J188" s="859">
        <f t="shared" si="60"/>
        <v>0</v>
      </c>
    </row>
    <row r="189" spans="1:11" x14ac:dyDescent="0.15">
      <c r="A189" s="867" t="s">
        <v>330</v>
      </c>
      <c r="B189" s="876" t="s">
        <v>73</v>
      </c>
      <c r="C189" s="877">
        <f t="shared" si="60"/>
        <v>79635.38</v>
      </c>
      <c r="D189" s="877">
        <f t="shared" si="60"/>
        <v>21272.02</v>
      </c>
      <c r="E189" s="878">
        <f t="shared" si="60"/>
        <v>15142.42</v>
      </c>
      <c r="F189" s="879">
        <f t="shared" si="60"/>
        <v>9277</v>
      </c>
      <c r="G189" s="880">
        <f t="shared" si="60"/>
        <v>14891.27</v>
      </c>
      <c r="H189" s="877">
        <f t="shared" si="60"/>
        <v>10778.48</v>
      </c>
      <c r="I189" s="877">
        <f t="shared" si="60"/>
        <v>8274.19</v>
      </c>
      <c r="J189" s="881">
        <f t="shared" si="60"/>
        <v>0</v>
      </c>
    </row>
    <row r="190" spans="1:11" x14ac:dyDescent="0.15">
      <c r="A190" s="956" t="s">
        <v>334</v>
      </c>
      <c r="B190" s="842" t="s">
        <v>72</v>
      </c>
      <c r="C190" s="1038">
        <f t="shared" ref="C190:E191" si="61">C192+C194+C196+C198+C200+C202+C204+C206+C208+C210+C212+C214+C216+C218+C220+C222+C224+C226+C228+C230+C232+C234+C236+C238+C240+C242+C244+C246+C248+C250+C252+C254+C256++C258+C260+C262+C264+C266+C268+C270+C272+C274+C276+C278+C280+C282+C284+C286+C288+C290+C292+C294+C296+C298+C300+C302+C304+C306+C308+C310+C312+C314+C316+C318+C320+C322+C324+C326+C328+C330+C332+C334+C336+C338+C340+C342+C344+C346+C348+C350+C352+C354+C356+C358+C360+C362+C364+C366+C368+C370+C372+C374+C376+C378+C380+C382+C384+C386+C388+C390+C392+C394+C396+C398+C400+C402+C404+C406+C408+C410+C414+C416+C418+C420</f>
        <v>7861</v>
      </c>
      <c r="D190" s="1038">
        <f t="shared" si="61"/>
        <v>0</v>
      </c>
      <c r="E190" s="1038">
        <f t="shared" si="61"/>
        <v>0</v>
      </c>
      <c r="F190" s="1038">
        <f>F192+F194+F196+F198+F200+F202+F204+F206+F208+F210+F212+F214+F216+F218+F220+F222+F224+F226+F228+F230+F232+F234+F236+F238+F240+F242+F244+F246+F248+F250+F252+F254+F256++F258+F260+F262+F264+F266+F268+F270+F272+F274+F276+F278+F280+F282+F284+F286+F288+F290+F292+F294+F296+F298+F300+F302+F304+F306+F308+F310+F312+F314+F316+F318+F320+F322+F324+F326+F328+F330+F332+F334+F336+F338+F340+F342+F344+F346+F348+F350+F352+F354+F356+F358+F360+F362+F364+F366+F368+F370+F372+F374+F376+F378+F380+F382+F384+F386+F388+F390+F392+F394+F396+F398+F400+F402+F404+F406+F408+F410+F414+F416+F418+F420</f>
        <v>7861</v>
      </c>
      <c r="G190" s="1038">
        <f t="shared" ref="G190:J191" si="62">G192+G194+G196+G198+G200+G202+G204+G206+G208+G210+G212+G214+G216+G218+G220+G222+G226+G228+G230+G232+G234+G236+G238+G240+G242+G244+G246+G248+G250+G252+G254+G256++G258+G260+G262+G264+G266+G268+G270+G272+G274+G276+G278+G280+G282+G284+G286+G288+G290+G292+G294+G296+G298+G300+G302+G304+G306+G308+G310+G312+G314+G316+G318+G320+G322+G324+G326+G328+G330+G332+G334+G336+G338+G340+G342+G344+G346+G348+G350+G352+G354+G356+G358+G360+G362+G364+G366+G368+G370+G372+G374+G376+G378+G380+G382+G384+G386+G388+G390+G392+G394+G396+G398+G400+G402+G404+G406+G408+G410+G414+G416+G418+G420</f>
        <v>0</v>
      </c>
      <c r="H190" s="1038">
        <f t="shared" si="62"/>
        <v>0</v>
      </c>
      <c r="I190" s="1038">
        <f t="shared" si="62"/>
        <v>0</v>
      </c>
      <c r="J190" s="1038">
        <f t="shared" si="62"/>
        <v>0</v>
      </c>
    </row>
    <row r="191" spans="1:11" x14ac:dyDescent="0.15">
      <c r="A191" s="957" t="s">
        <v>330</v>
      </c>
      <c r="B191" s="887" t="s">
        <v>73</v>
      </c>
      <c r="C191" s="1048">
        <f t="shared" si="61"/>
        <v>7861</v>
      </c>
      <c r="D191" s="1048">
        <f t="shared" si="61"/>
        <v>0</v>
      </c>
      <c r="E191" s="1048">
        <f t="shared" si="61"/>
        <v>0</v>
      </c>
      <c r="F191" s="1048">
        <f>F193+F195+F197+F199+F201+F203+F205+F207+F209+F211+F213+F215+F217+F219+F221+F223+F225+F227+F229+F231+F233+F235+F237+F239+F241+F243+F245+F247+F249+F251+F253+F255+F257++F259+F261+F263+F265+F267+F269+F271+F273+F275+F277+F279+F281+F283+F285+F287+F289+F291+F293+F295+F297+F299+F301+F303+F305+F307+F309+F311+F313+F315+F317+F319+F321+F323+F325+F327+F329+F331+F333+F335+F337+F339+F341+F343+F345+F347+F349+F351+F353+F355+F357+F359+F361+F363+F365+F367+F369+F371+F373+F375+F377+F379+F381+F383+F385+F387+F389+F391+F393+F395+F397+F399+F401+F403+F405+F407+F409+F411+F415+F417+F419+F421</f>
        <v>7861</v>
      </c>
      <c r="G191" s="1048">
        <f t="shared" si="62"/>
        <v>0</v>
      </c>
      <c r="H191" s="1048">
        <f t="shared" si="62"/>
        <v>0</v>
      </c>
      <c r="I191" s="1048">
        <f t="shared" si="62"/>
        <v>0</v>
      </c>
      <c r="J191" s="1048">
        <f t="shared" si="62"/>
        <v>0</v>
      </c>
    </row>
    <row r="192" spans="1:11" x14ac:dyDescent="0.15">
      <c r="A192" s="1440" t="s">
        <v>354</v>
      </c>
      <c r="B192" s="963" t="s">
        <v>72</v>
      </c>
      <c r="C192" s="1072">
        <f t="shared" ref="C192:C255" si="63">D192+E192+F192+G192+H192+I192+J192</f>
        <v>52</v>
      </c>
      <c r="D192" s="964">
        <v>0</v>
      </c>
      <c r="E192" s="964">
        <v>0</v>
      </c>
      <c r="F192" s="966">
        <v>52</v>
      </c>
      <c r="G192" s="967">
        <v>0</v>
      </c>
      <c r="H192" s="964">
        <v>0</v>
      </c>
      <c r="I192" s="964">
        <v>0</v>
      </c>
      <c r="J192" s="968">
        <v>0</v>
      </c>
      <c r="K192" s="1420" t="s">
        <v>348</v>
      </c>
    </row>
    <row r="193" spans="1:11" x14ac:dyDescent="0.15">
      <c r="A193" s="1441"/>
      <c r="B193" s="969" t="s">
        <v>73</v>
      </c>
      <c r="C193" s="970">
        <f t="shared" si="63"/>
        <v>52</v>
      </c>
      <c r="D193" s="970">
        <v>0</v>
      </c>
      <c r="E193" s="970">
        <v>0</v>
      </c>
      <c r="F193" s="972">
        <v>52</v>
      </c>
      <c r="G193" s="973">
        <v>0</v>
      </c>
      <c r="H193" s="970">
        <v>0</v>
      </c>
      <c r="I193" s="970">
        <v>0</v>
      </c>
      <c r="J193" s="974">
        <v>0</v>
      </c>
      <c r="K193" s="1420"/>
    </row>
    <row r="194" spans="1:11" x14ac:dyDescent="0.15">
      <c r="A194" s="1440" t="s">
        <v>355</v>
      </c>
      <c r="B194" s="963" t="s">
        <v>72</v>
      </c>
      <c r="C194" s="1072">
        <f t="shared" si="63"/>
        <v>20</v>
      </c>
      <c r="D194" s="964">
        <v>0</v>
      </c>
      <c r="E194" s="964">
        <v>0</v>
      </c>
      <c r="F194" s="966">
        <v>20</v>
      </c>
      <c r="G194" s="967">
        <v>0</v>
      </c>
      <c r="H194" s="964">
        <v>0</v>
      </c>
      <c r="I194" s="964">
        <v>0</v>
      </c>
      <c r="J194" s="968">
        <v>0</v>
      </c>
      <c r="K194" s="1420" t="s">
        <v>348</v>
      </c>
    </row>
    <row r="195" spans="1:11" x14ac:dyDescent="0.15">
      <c r="A195" s="1441"/>
      <c r="B195" s="969" t="s">
        <v>73</v>
      </c>
      <c r="C195" s="970">
        <f t="shared" si="63"/>
        <v>20</v>
      </c>
      <c r="D195" s="970">
        <v>0</v>
      </c>
      <c r="E195" s="970">
        <v>0</v>
      </c>
      <c r="F195" s="972">
        <v>20</v>
      </c>
      <c r="G195" s="973">
        <v>0</v>
      </c>
      <c r="H195" s="970">
        <v>0</v>
      </c>
      <c r="I195" s="970">
        <v>0</v>
      </c>
      <c r="J195" s="974">
        <v>0</v>
      </c>
      <c r="K195" s="1420"/>
    </row>
    <row r="196" spans="1:11" x14ac:dyDescent="0.15">
      <c r="A196" s="1440" t="s">
        <v>356</v>
      </c>
      <c r="B196" s="963" t="s">
        <v>72</v>
      </c>
      <c r="C196" s="1072">
        <f t="shared" si="63"/>
        <v>8</v>
      </c>
      <c r="D196" s="964">
        <v>0</v>
      </c>
      <c r="E196" s="964">
        <v>0</v>
      </c>
      <c r="F196" s="966">
        <v>8</v>
      </c>
      <c r="G196" s="967">
        <v>0</v>
      </c>
      <c r="H196" s="964">
        <v>0</v>
      </c>
      <c r="I196" s="964">
        <v>0</v>
      </c>
      <c r="J196" s="968">
        <v>0</v>
      </c>
      <c r="K196" s="1420" t="s">
        <v>348</v>
      </c>
    </row>
    <row r="197" spans="1:11" x14ac:dyDescent="0.15">
      <c r="A197" s="1441"/>
      <c r="B197" s="969" t="s">
        <v>73</v>
      </c>
      <c r="C197" s="970">
        <f t="shared" si="63"/>
        <v>8</v>
      </c>
      <c r="D197" s="970">
        <v>0</v>
      </c>
      <c r="E197" s="970">
        <v>0</v>
      </c>
      <c r="F197" s="972">
        <v>8</v>
      </c>
      <c r="G197" s="973">
        <v>0</v>
      </c>
      <c r="H197" s="970">
        <v>0</v>
      </c>
      <c r="I197" s="970">
        <v>0</v>
      </c>
      <c r="J197" s="974">
        <v>0</v>
      </c>
      <c r="K197" s="1420"/>
    </row>
    <row r="198" spans="1:11" x14ac:dyDescent="0.15">
      <c r="A198" s="1440" t="s">
        <v>357</v>
      </c>
      <c r="B198" s="963" t="s">
        <v>72</v>
      </c>
      <c r="C198" s="1072">
        <f t="shared" si="63"/>
        <v>36</v>
      </c>
      <c r="D198" s="964">
        <v>0</v>
      </c>
      <c r="E198" s="964">
        <v>0</v>
      </c>
      <c r="F198" s="966">
        <v>36</v>
      </c>
      <c r="G198" s="967">
        <v>0</v>
      </c>
      <c r="H198" s="964">
        <v>0</v>
      </c>
      <c r="I198" s="964">
        <v>0</v>
      </c>
      <c r="J198" s="968">
        <v>0</v>
      </c>
      <c r="K198" s="1420" t="s">
        <v>348</v>
      </c>
    </row>
    <row r="199" spans="1:11" x14ac:dyDescent="0.15">
      <c r="A199" s="1441"/>
      <c r="B199" s="969" t="s">
        <v>73</v>
      </c>
      <c r="C199" s="970">
        <f t="shared" si="63"/>
        <v>36</v>
      </c>
      <c r="D199" s="970">
        <v>0</v>
      </c>
      <c r="E199" s="970">
        <v>0</v>
      </c>
      <c r="F199" s="972">
        <v>36</v>
      </c>
      <c r="G199" s="973">
        <v>0</v>
      </c>
      <c r="H199" s="970">
        <v>0</v>
      </c>
      <c r="I199" s="970">
        <v>0</v>
      </c>
      <c r="J199" s="974">
        <v>0</v>
      </c>
      <c r="K199" s="1420"/>
    </row>
    <row r="200" spans="1:11" x14ac:dyDescent="0.15">
      <c r="A200" s="1440" t="s">
        <v>358</v>
      </c>
      <c r="B200" s="963" t="s">
        <v>72</v>
      </c>
      <c r="C200" s="1072">
        <f t="shared" si="63"/>
        <v>89</v>
      </c>
      <c r="D200" s="964">
        <v>0</v>
      </c>
      <c r="E200" s="964">
        <v>0</v>
      </c>
      <c r="F200" s="966">
        <v>89</v>
      </c>
      <c r="G200" s="967">
        <v>0</v>
      </c>
      <c r="H200" s="964">
        <v>0</v>
      </c>
      <c r="I200" s="964">
        <v>0</v>
      </c>
      <c r="J200" s="968">
        <v>0</v>
      </c>
      <c r="K200" s="1420" t="s">
        <v>348</v>
      </c>
    </row>
    <row r="201" spans="1:11" x14ac:dyDescent="0.15">
      <c r="A201" s="1441"/>
      <c r="B201" s="969" t="s">
        <v>73</v>
      </c>
      <c r="C201" s="970">
        <f t="shared" si="63"/>
        <v>89</v>
      </c>
      <c r="D201" s="970">
        <v>0</v>
      </c>
      <c r="E201" s="970">
        <v>0</v>
      </c>
      <c r="F201" s="972">
        <v>89</v>
      </c>
      <c r="G201" s="973">
        <v>0</v>
      </c>
      <c r="H201" s="970">
        <v>0</v>
      </c>
      <c r="I201" s="970">
        <v>0</v>
      </c>
      <c r="J201" s="974">
        <v>0</v>
      </c>
      <c r="K201" s="1420"/>
    </row>
    <row r="202" spans="1:11" x14ac:dyDescent="0.15">
      <c r="A202" s="1440" t="s">
        <v>359</v>
      </c>
      <c r="B202" s="963" t="s">
        <v>72</v>
      </c>
      <c r="C202" s="1072">
        <f t="shared" si="63"/>
        <v>7</v>
      </c>
      <c r="D202" s="964">
        <v>0</v>
      </c>
      <c r="E202" s="964">
        <v>0</v>
      </c>
      <c r="F202" s="966">
        <v>7</v>
      </c>
      <c r="G202" s="967">
        <v>0</v>
      </c>
      <c r="H202" s="964">
        <v>0</v>
      </c>
      <c r="I202" s="964">
        <v>0</v>
      </c>
      <c r="J202" s="968">
        <v>0</v>
      </c>
      <c r="K202" s="1420" t="s">
        <v>348</v>
      </c>
    </row>
    <row r="203" spans="1:11" x14ac:dyDescent="0.15">
      <c r="A203" s="1441"/>
      <c r="B203" s="969" t="s">
        <v>73</v>
      </c>
      <c r="C203" s="970">
        <f t="shared" si="63"/>
        <v>7</v>
      </c>
      <c r="D203" s="970">
        <v>0</v>
      </c>
      <c r="E203" s="970">
        <v>0</v>
      </c>
      <c r="F203" s="972">
        <v>7</v>
      </c>
      <c r="G203" s="973">
        <v>0</v>
      </c>
      <c r="H203" s="970">
        <v>0</v>
      </c>
      <c r="I203" s="970">
        <v>0</v>
      </c>
      <c r="J203" s="974">
        <v>0</v>
      </c>
      <c r="K203" s="1420"/>
    </row>
    <row r="204" spans="1:11" x14ac:dyDescent="0.15">
      <c r="A204" s="1440" t="s">
        <v>360</v>
      </c>
      <c r="B204" s="963" t="s">
        <v>72</v>
      </c>
      <c r="C204" s="1072">
        <f t="shared" si="63"/>
        <v>17</v>
      </c>
      <c r="D204" s="964">
        <v>0</v>
      </c>
      <c r="E204" s="964">
        <v>0</v>
      </c>
      <c r="F204" s="966">
        <v>17</v>
      </c>
      <c r="G204" s="967">
        <v>0</v>
      </c>
      <c r="H204" s="964">
        <v>0</v>
      </c>
      <c r="I204" s="964">
        <v>0</v>
      </c>
      <c r="J204" s="968">
        <v>0</v>
      </c>
      <c r="K204" s="1420" t="s">
        <v>348</v>
      </c>
    </row>
    <row r="205" spans="1:11" x14ac:dyDescent="0.15">
      <c r="A205" s="1441"/>
      <c r="B205" s="969" t="s">
        <v>73</v>
      </c>
      <c r="C205" s="970">
        <f t="shared" si="63"/>
        <v>17</v>
      </c>
      <c r="D205" s="970">
        <v>0</v>
      </c>
      <c r="E205" s="970">
        <v>0</v>
      </c>
      <c r="F205" s="972">
        <v>17</v>
      </c>
      <c r="G205" s="973">
        <v>0</v>
      </c>
      <c r="H205" s="970">
        <v>0</v>
      </c>
      <c r="I205" s="970">
        <v>0</v>
      </c>
      <c r="J205" s="974">
        <v>0</v>
      </c>
      <c r="K205" s="1420"/>
    </row>
    <row r="206" spans="1:11" x14ac:dyDescent="0.15">
      <c r="A206" s="1440" t="s">
        <v>361</v>
      </c>
      <c r="B206" s="963" t="s">
        <v>72</v>
      </c>
      <c r="C206" s="1072">
        <f t="shared" si="63"/>
        <v>44</v>
      </c>
      <c r="D206" s="964">
        <v>0</v>
      </c>
      <c r="E206" s="964">
        <v>0</v>
      </c>
      <c r="F206" s="966">
        <v>44</v>
      </c>
      <c r="G206" s="967">
        <v>0</v>
      </c>
      <c r="H206" s="964">
        <v>0</v>
      </c>
      <c r="I206" s="964">
        <v>0</v>
      </c>
      <c r="J206" s="968">
        <v>0</v>
      </c>
      <c r="K206" s="1420" t="s">
        <v>348</v>
      </c>
    </row>
    <row r="207" spans="1:11" x14ac:dyDescent="0.15">
      <c r="A207" s="1441"/>
      <c r="B207" s="969" t="s">
        <v>73</v>
      </c>
      <c r="C207" s="970">
        <f t="shared" si="63"/>
        <v>44</v>
      </c>
      <c r="D207" s="970">
        <v>0</v>
      </c>
      <c r="E207" s="970">
        <v>0</v>
      </c>
      <c r="F207" s="972">
        <v>44</v>
      </c>
      <c r="G207" s="973">
        <v>0</v>
      </c>
      <c r="H207" s="970">
        <v>0</v>
      </c>
      <c r="I207" s="970">
        <v>0</v>
      </c>
      <c r="J207" s="974">
        <v>0</v>
      </c>
      <c r="K207" s="1420"/>
    </row>
    <row r="208" spans="1:11" x14ac:dyDescent="0.15">
      <c r="A208" s="1440" t="s">
        <v>362</v>
      </c>
      <c r="B208" s="963" t="s">
        <v>72</v>
      </c>
      <c r="C208" s="1072">
        <f t="shared" si="63"/>
        <v>12</v>
      </c>
      <c r="D208" s="964">
        <v>0</v>
      </c>
      <c r="E208" s="964">
        <v>0</v>
      </c>
      <c r="F208" s="966">
        <v>12</v>
      </c>
      <c r="G208" s="967">
        <v>0</v>
      </c>
      <c r="H208" s="964">
        <v>0</v>
      </c>
      <c r="I208" s="964">
        <v>0</v>
      </c>
      <c r="J208" s="968">
        <v>0</v>
      </c>
      <c r="K208" s="1420" t="s">
        <v>348</v>
      </c>
    </row>
    <row r="209" spans="1:11" x14ac:dyDescent="0.15">
      <c r="A209" s="1441"/>
      <c r="B209" s="969" t="s">
        <v>73</v>
      </c>
      <c r="C209" s="970">
        <f t="shared" si="63"/>
        <v>12</v>
      </c>
      <c r="D209" s="970">
        <v>0</v>
      </c>
      <c r="E209" s="970">
        <v>0</v>
      </c>
      <c r="F209" s="972">
        <v>12</v>
      </c>
      <c r="G209" s="973">
        <v>0</v>
      </c>
      <c r="H209" s="970">
        <v>0</v>
      </c>
      <c r="I209" s="970">
        <v>0</v>
      </c>
      <c r="J209" s="974">
        <v>0</v>
      </c>
      <c r="K209" s="1420"/>
    </row>
    <row r="210" spans="1:11" x14ac:dyDescent="0.15">
      <c r="A210" s="1440" t="s">
        <v>363</v>
      </c>
      <c r="B210" s="963" t="s">
        <v>72</v>
      </c>
      <c r="C210" s="1072">
        <f t="shared" si="63"/>
        <v>89</v>
      </c>
      <c r="D210" s="964">
        <v>0</v>
      </c>
      <c r="E210" s="964">
        <v>0</v>
      </c>
      <c r="F210" s="966">
        <v>89</v>
      </c>
      <c r="G210" s="967">
        <v>0</v>
      </c>
      <c r="H210" s="964">
        <v>0</v>
      </c>
      <c r="I210" s="964">
        <v>0</v>
      </c>
      <c r="J210" s="968">
        <v>0</v>
      </c>
      <c r="K210" s="1420" t="s">
        <v>348</v>
      </c>
    </row>
    <row r="211" spans="1:11" x14ac:dyDescent="0.15">
      <c r="A211" s="1441"/>
      <c r="B211" s="969" t="s">
        <v>73</v>
      </c>
      <c r="C211" s="970">
        <f t="shared" si="63"/>
        <v>89</v>
      </c>
      <c r="D211" s="970">
        <v>0</v>
      </c>
      <c r="E211" s="970">
        <v>0</v>
      </c>
      <c r="F211" s="972">
        <v>89</v>
      </c>
      <c r="G211" s="973">
        <v>0</v>
      </c>
      <c r="H211" s="970">
        <v>0</v>
      </c>
      <c r="I211" s="970">
        <v>0</v>
      </c>
      <c r="J211" s="974">
        <v>0</v>
      </c>
      <c r="K211" s="1420"/>
    </row>
    <row r="212" spans="1:11" x14ac:dyDescent="0.15">
      <c r="A212" s="1442" t="s">
        <v>364</v>
      </c>
      <c r="B212" s="963" t="s">
        <v>72</v>
      </c>
      <c r="C212" s="1072">
        <f t="shared" si="63"/>
        <v>16</v>
      </c>
      <c r="D212" s="964">
        <v>0</v>
      </c>
      <c r="E212" s="964">
        <v>0</v>
      </c>
      <c r="F212" s="966">
        <v>16</v>
      </c>
      <c r="G212" s="967">
        <v>0</v>
      </c>
      <c r="H212" s="964">
        <v>0</v>
      </c>
      <c r="I212" s="964">
        <v>0</v>
      </c>
      <c r="J212" s="968">
        <v>0</v>
      </c>
      <c r="K212" s="1420" t="s">
        <v>348</v>
      </c>
    </row>
    <row r="213" spans="1:11" x14ac:dyDescent="0.15">
      <c r="A213" s="1443"/>
      <c r="B213" s="969" t="s">
        <v>73</v>
      </c>
      <c r="C213" s="970">
        <f t="shared" si="63"/>
        <v>16</v>
      </c>
      <c r="D213" s="970">
        <v>0</v>
      </c>
      <c r="E213" s="970">
        <v>0</v>
      </c>
      <c r="F213" s="972">
        <v>16</v>
      </c>
      <c r="G213" s="973">
        <v>0</v>
      </c>
      <c r="H213" s="970">
        <v>0</v>
      </c>
      <c r="I213" s="970">
        <v>0</v>
      </c>
      <c r="J213" s="974">
        <v>0</v>
      </c>
      <c r="K213" s="1420"/>
    </row>
    <row r="214" spans="1:11" ht="12.75" customHeight="1" x14ac:dyDescent="0.15">
      <c r="A214" s="1442" t="s">
        <v>365</v>
      </c>
      <c r="B214" s="963" t="s">
        <v>72</v>
      </c>
      <c r="C214" s="1072">
        <f t="shared" si="63"/>
        <v>17</v>
      </c>
      <c r="D214" s="964">
        <v>0</v>
      </c>
      <c r="E214" s="964">
        <v>0</v>
      </c>
      <c r="F214" s="966">
        <v>17</v>
      </c>
      <c r="G214" s="967">
        <v>0</v>
      </c>
      <c r="H214" s="964">
        <v>0</v>
      </c>
      <c r="I214" s="964">
        <v>0</v>
      </c>
      <c r="J214" s="968">
        <v>0</v>
      </c>
      <c r="K214" s="1420" t="s">
        <v>348</v>
      </c>
    </row>
    <row r="215" spans="1:11" x14ac:dyDescent="0.15">
      <c r="A215" s="1443"/>
      <c r="B215" s="969" t="s">
        <v>73</v>
      </c>
      <c r="C215" s="970">
        <f t="shared" si="63"/>
        <v>17</v>
      </c>
      <c r="D215" s="970">
        <v>0</v>
      </c>
      <c r="E215" s="970">
        <v>0</v>
      </c>
      <c r="F215" s="972">
        <v>17</v>
      </c>
      <c r="G215" s="973">
        <v>0</v>
      </c>
      <c r="H215" s="970">
        <v>0</v>
      </c>
      <c r="I215" s="970">
        <v>0</v>
      </c>
      <c r="J215" s="974">
        <v>0</v>
      </c>
      <c r="K215" s="1420"/>
    </row>
    <row r="216" spans="1:11" x14ac:dyDescent="0.15">
      <c r="A216" s="1442" t="s">
        <v>366</v>
      </c>
      <c r="B216" s="963" t="s">
        <v>72</v>
      </c>
      <c r="C216" s="1072">
        <f t="shared" si="63"/>
        <v>18</v>
      </c>
      <c r="D216" s="964">
        <v>0</v>
      </c>
      <c r="E216" s="964">
        <v>0</v>
      </c>
      <c r="F216" s="966">
        <v>18</v>
      </c>
      <c r="G216" s="967">
        <v>0</v>
      </c>
      <c r="H216" s="964">
        <v>0</v>
      </c>
      <c r="I216" s="964">
        <v>0</v>
      </c>
      <c r="J216" s="968">
        <v>0</v>
      </c>
      <c r="K216" s="1420" t="s">
        <v>348</v>
      </c>
    </row>
    <row r="217" spans="1:11" x14ac:dyDescent="0.15">
      <c r="A217" s="1443"/>
      <c r="B217" s="969" t="s">
        <v>73</v>
      </c>
      <c r="C217" s="970">
        <f t="shared" si="63"/>
        <v>18</v>
      </c>
      <c r="D217" s="970">
        <v>0</v>
      </c>
      <c r="E217" s="970">
        <v>0</v>
      </c>
      <c r="F217" s="972">
        <v>18</v>
      </c>
      <c r="G217" s="973">
        <v>0</v>
      </c>
      <c r="H217" s="970">
        <v>0</v>
      </c>
      <c r="I217" s="970">
        <v>0</v>
      </c>
      <c r="J217" s="974">
        <v>0</v>
      </c>
      <c r="K217" s="1420"/>
    </row>
    <row r="218" spans="1:11" x14ac:dyDescent="0.15">
      <c r="A218" s="1440" t="s">
        <v>367</v>
      </c>
      <c r="B218" s="963" t="s">
        <v>72</v>
      </c>
      <c r="C218" s="1072">
        <f t="shared" si="63"/>
        <v>45</v>
      </c>
      <c r="D218" s="964">
        <v>0</v>
      </c>
      <c r="E218" s="964">
        <v>0</v>
      </c>
      <c r="F218" s="966">
        <v>45</v>
      </c>
      <c r="G218" s="967">
        <v>0</v>
      </c>
      <c r="H218" s="964">
        <v>0</v>
      </c>
      <c r="I218" s="964">
        <v>0</v>
      </c>
      <c r="J218" s="968">
        <v>0</v>
      </c>
      <c r="K218" s="1420" t="s">
        <v>348</v>
      </c>
    </row>
    <row r="219" spans="1:11" x14ac:dyDescent="0.15">
      <c r="A219" s="1441"/>
      <c r="B219" s="969" t="s">
        <v>73</v>
      </c>
      <c r="C219" s="970">
        <f t="shared" si="63"/>
        <v>45</v>
      </c>
      <c r="D219" s="970">
        <v>0</v>
      </c>
      <c r="E219" s="970">
        <v>0</v>
      </c>
      <c r="F219" s="972">
        <v>45</v>
      </c>
      <c r="G219" s="973">
        <v>0</v>
      </c>
      <c r="H219" s="970">
        <v>0</v>
      </c>
      <c r="I219" s="970">
        <v>0</v>
      </c>
      <c r="J219" s="974">
        <v>0</v>
      </c>
      <c r="K219" s="1420"/>
    </row>
    <row r="220" spans="1:11" x14ac:dyDescent="0.15">
      <c r="A220" s="1440" t="s">
        <v>368</v>
      </c>
      <c r="B220" s="963" t="s">
        <v>72</v>
      </c>
      <c r="C220" s="1072">
        <f t="shared" si="63"/>
        <v>84</v>
      </c>
      <c r="D220" s="964">
        <v>0</v>
      </c>
      <c r="E220" s="964">
        <v>0</v>
      </c>
      <c r="F220" s="966">
        <v>84</v>
      </c>
      <c r="G220" s="967">
        <v>0</v>
      </c>
      <c r="H220" s="964">
        <v>0</v>
      </c>
      <c r="I220" s="964">
        <v>0</v>
      </c>
      <c r="J220" s="968">
        <v>0</v>
      </c>
      <c r="K220" s="1420" t="s">
        <v>348</v>
      </c>
    </row>
    <row r="221" spans="1:11" x14ac:dyDescent="0.15">
      <c r="A221" s="1441"/>
      <c r="B221" s="969" t="s">
        <v>73</v>
      </c>
      <c r="C221" s="970">
        <f t="shared" si="63"/>
        <v>84</v>
      </c>
      <c r="D221" s="970">
        <v>0</v>
      </c>
      <c r="E221" s="970">
        <v>0</v>
      </c>
      <c r="F221" s="972">
        <v>84</v>
      </c>
      <c r="G221" s="973">
        <v>0</v>
      </c>
      <c r="H221" s="970">
        <v>0</v>
      </c>
      <c r="I221" s="970">
        <v>0</v>
      </c>
      <c r="J221" s="974">
        <v>0</v>
      </c>
      <c r="K221" s="1420"/>
    </row>
    <row r="222" spans="1:11" x14ac:dyDescent="0.15">
      <c r="A222" s="1440" t="s">
        <v>369</v>
      </c>
      <c r="B222" s="963" t="s">
        <v>72</v>
      </c>
      <c r="C222" s="1072">
        <f t="shared" si="63"/>
        <v>89</v>
      </c>
      <c r="D222" s="964">
        <v>0</v>
      </c>
      <c r="E222" s="964">
        <v>0</v>
      </c>
      <c r="F222" s="966">
        <v>89</v>
      </c>
      <c r="G222" s="967">
        <v>0</v>
      </c>
      <c r="H222" s="964">
        <v>0</v>
      </c>
      <c r="I222" s="964">
        <v>0</v>
      </c>
      <c r="J222" s="968">
        <v>0</v>
      </c>
      <c r="K222" s="1420" t="s">
        <v>348</v>
      </c>
    </row>
    <row r="223" spans="1:11" x14ac:dyDescent="0.15">
      <c r="A223" s="1441"/>
      <c r="B223" s="969" t="s">
        <v>73</v>
      </c>
      <c r="C223" s="970">
        <f t="shared" si="63"/>
        <v>89</v>
      </c>
      <c r="D223" s="970">
        <v>0</v>
      </c>
      <c r="E223" s="970">
        <v>0</v>
      </c>
      <c r="F223" s="972">
        <v>89</v>
      </c>
      <c r="G223" s="973">
        <v>0</v>
      </c>
      <c r="H223" s="970">
        <v>0</v>
      </c>
      <c r="I223" s="970">
        <v>0</v>
      </c>
      <c r="J223" s="974">
        <v>0</v>
      </c>
      <c r="K223" s="1420"/>
    </row>
    <row r="224" spans="1:11" x14ac:dyDescent="0.15">
      <c r="A224" s="1440" t="s">
        <v>370</v>
      </c>
      <c r="B224" s="963" t="s">
        <v>72</v>
      </c>
      <c r="C224" s="1072">
        <f t="shared" si="63"/>
        <v>8</v>
      </c>
      <c r="D224" s="964">
        <v>0</v>
      </c>
      <c r="E224" s="964">
        <v>0</v>
      </c>
      <c r="F224" s="966">
        <v>8</v>
      </c>
      <c r="G224" s="967">
        <v>0</v>
      </c>
      <c r="H224" s="964">
        <v>0</v>
      </c>
      <c r="I224" s="964">
        <v>0</v>
      </c>
      <c r="J224" s="968">
        <v>0</v>
      </c>
      <c r="K224" s="1420" t="s">
        <v>348</v>
      </c>
    </row>
    <row r="225" spans="1:11" x14ac:dyDescent="0.15">
      <c r="A225" s="1441"/>
      <c r="B225" s="969" t="s">
        <v>73</v>
      </c>
      <c r="C225" s="970">
        <f t="shared" si="63"/>
        <v>8</v>
      </c>
      <c r="D225" s="970">
        <v>0</v>
      </c>
      <c r="E225" s="970">
        <v>0</v>
      </c>
      <c r="F225" s="972">
        <v>8</v>
      </c>
      <c r="G225" s="973">
        <v>0</v>
      </c>
      <c r="H225" s="970">
        <v>0</v>
      </c>
      <c r="I225" s="970">
        <v>0</v>
      </c>
      <c r="J225" s="974">
        <v>0</v>
      </c>
      <c r="K225" s="1420"/>
    </row>
    <row r="226" spans="1:11" x14ac:dyDescent="0.15">
      <c r="A226" s="1440" t="s">
        <v>371</v>
      </c>
      <c r="B226" s="963" t="s">
        <v>72</v>
      </c>
      <c r="C226" s="1072">
        <f t="shared" si="63"/>
        <v>45</v>
      </c>
      <c r="D226" s="964">
        <v>0</v>
      </c>
      <c r="E226" s="964">
        <v>0</v>
      </c>
      <c r="F226" s="966">
        <v>45</v>
      </c>
      <c r="G226" s="967">
        <v>0</v>
      </c>
      <c r="H226" s="964">
        <v>0</v>
      </c>
      <c r="I226" s="964">
        <v>0</v>
      </c>
      <c r="J226" s="968">
        <v>0</v>
      </c>
      <c r="K226" s="1420" t="s">
        <v>348</v>
      </c>
    </row>
    <row r="227" spans="1:11" x14ac:dyDescent="0.15">
      <c r="A227" s="1441"/>
      <c r="B227" s="969" t="s">
        <v>73</v>
      </c>
      <c r="C227" s="970">
        <f t="shared" si="63"/>
        <v>45</v>
      </c>
      <c r="D227" s="970">
        <v>0</v>
      </c>
      <c r="E227" s="970">
        <v>0</v>
      </c>
      <c r="F227" s="972">
        <v>45</v>
      </c>
      <c r="G227" s="973">
        <v>0</v>
      </c>
      <c r="H227" s="970">
        <v>0</v>
      </c>
      <c r="I227" s="970">
        <v>0</v>
      </c>
      <c r="J227" s="974">
        <v>0</v>
      </c>
      <c r="K227" s="1420"/>
    </row>
    <row r="228" spans="1:11" x14ac:dyDescent="0.15">
      <c r="A228" s="1440" t="s">
        <v>372</v>
      </c>
      <c r="B228" s="963" t="s">
        <v>72</v>
      </c>
      <c r="C228" s="1072">
        <f t="shared" si="63"/>
        <v>45</v>
      </c>
      <c r="D228" s="964">
        <v>0</v>
      </c>
      <c r="E228" s="964">
        <v>0</v>
      </c>
      <c r="F228" s="966">
        <v>45</v>
      </c>
      <c r="G228" s="967">
        <v>0</v>
      </c>
      <c r="H228" s="964">
        <v>0</v>
      </c>
      <c r="I228" s="964">
        <v>0</v>
      </c>
      <c r="J228" s="968">
        <v>0</v>
      </c>
      <c r="K228" s="1420" t="s">
        <v>348</v>
      </c>
    </row>
    <row r="229" spans="1:11" x14ac:dyDescent="0.15">
      <c r="A229" s="1441"/>
      <c r="B229" s="969" t="s">
        <v>73</v>
      </c>
      <c r="C229" s="970">
        <f t="shared" si="63"/>
        <v>45</v>
      </c>
      <c r="D229" s="970">
        <v>0</v>
      </c>
      <c r="E229" s="970">
        <v>0</v>
      </c>
      <c r="F229" s="972">
        <v>45</v>
      </c>
      <c r="G229" s="973">
        <v>0</v>
      </c>
      <c r="H229" s="970">
        <v>0</v>
      </c>
      <c r="I229" s="970">
        <v>0</v>
      </c>
      <c r="J229" s="974">
        <v>0</v>
      </c>
      <c r="K229" s="1420"/>
    </row>
    <row r="230" spans="1:11" x14ac:dyDescent="0.15">
      <c r="A230" s="1440" t="s">
        <v>373</v>
      </c>
      <c r="B230" s="963" t="s">
        <v>72</v>
      </c>
      <c r="C230" s="1072">
        <f t="shared" si="63"/>
        <v>8</v>
      </c>
      <c r="D230" s="964">
        <v>0</v>
      </c>
      <c r="E230" s="964">
        <v>0</v>
      </c>
      <c r="F230" s="966">
        <v>8</v>
      </c>
      <c r="G230" s="967">
        <v>0</v>
      </c>
      <c r="H230" s="964">
        <v>0</v>
      </c>
      <c r="I230" s="964">
        <v>0</v>
      </c>
      <c r="J230" s="968">
        <v>0</v>
      </c>
      <c r="K230" s="1420" t="s">
        <v>348</v>
      </c>
    </row>
    <row r="231" spans="1:11" x14ac:dyDescent="0.15">
      <c r="A231" s="1441"/>
      <c r="B231" s="969" t="s">
        <v>73</v>
      </c>
      <c r="C231" s="970">
        <f t="shared" si="63"/>
        <v>8</v>
      </c>
      <c r="D231" s="970">
        <v>0</v>
      </c>
      <c r="E231" s="970">
        <v>0</v>
      </c>
      <c r="F231" s="972">
        <v>8</v>
      </c>
      <c r="G231" s="973">
        <v>0</v>
      </c>
      <c r="H231" s="970">
        <v>0</v>
      </c>
      <c r="I231" s="970">
        <v>0</v>
      </c>
      <c r="J231" s="974">
        <v>0</v>
      </c>
      <c r="K231" s="1420"/>
    </row>
    <row r="232" spans="1:11" x14ac:dyDescent="0.15">
      <c r="A232" s="1440" t="s">
        <v>374</v>
      </c>
      <c r="B232" s="963" t="s">
        <v>72</v>
      </c>
      <c r="C232" s="1072">
        <f t="shared" si="63"/>
        <v>35</v>
      </c>
      <c r="D232" s="964">
        <v>0</v>
      </c>
      <c r="E232" s="964">
        <v>0</v>
      </c>
      <c r="F232" s="966">
        <v>35</v>
      </c>
      <c r="G232" s="967">
        <v>0</v>
      </c>
      <c r="H232" s="964">
        <v>0</v>
      </c>
      <c r="I232" s="964">
        <v>0</v>
      </c>
      <c r="J232" s="968">
        <v>0</v>
      </c>
      <c r="K232" s="1420" t="s">
        <v>348</v>
      </c>
    </row>
    <row r="233" spans="1:11" x14ac:dyDescent="0.15">
      <c r="A233" s="1441"/>
      <c r="B233" s="969" t="s">
        <v>73</v>
      </c>
      <c r="C233" s="970">
        <f t="shared" si="63"/>
        <v>35</v>
      </c>
      <c r="D233" s="970">
        <v>0</v>
      </c>
      <c r="E233" s="970">
        <v>0</v>
      </c>
      <c r="F233" s="972">
        <v>35</v>
      </c>
      <c r="G233" s="973">
        <v>0</v>
      </c>
      <c r="H233" s="970">
        <v>0</v>
      </c>
      <c r="I233" s="970">
        <v>0</v>
      </c>
      <c r="J233" s="974">
        <v>0</v>
      </c>
      <c r="K233" s="1420"/>
    </row>
    <row r="234" spans="1:11" x14ac:dyDescent="0.15">
      <c r="A234" s="1440" t="s">
        <v>375</v>
      </c>
      <c r="B234" s="963" t="s">
        <v>72</v>
      </c>
      <c r="C234" s="1072">
        <f t="shared" si="63"/>
        <v>89</v>
      </c>
      <c r="D234" s="964">
        <v>0</v>
      </c>
      <c r="E234" s="964">
        <v>0</v>
      </c>
      <c r="F234" s="966">
        <v>89</v>
      </c>
      <c r="G234" s="967">
        <v>0</v>
      </c>
      <c r="H234" s="964">
        <v>0</v>
      </c>
      <c r="I234" s="964">
        <v>0</v>
      </c>
      <c r="J234" s="968">
        <v>0</v>
      </c>
      <c r="K234" s="1420" t="s">
        <v>348</v>
      </c>
    </row>
    <row r="235" spans="1:11" x14ac:dyDescent="0.15">
      <c r="A235" s="1441"/>
      <c r="B235" s="969" t="s">
        <v>73</v>
      </c>
      <c r="C235" s="970">
        <f t="shared" si="63"/>
        <v>89</v>
      </c>
      <c r="D235" s="970">
        <v>0</v>
      </c>
      <c r="E235" s="970">
        <v>0</v>
      </c>
      <c r="F235" s="972">
        <v>89</v>
      </c>
      <c r="G235" s="973">
        <v>0</v>
      </c>
      <c r="H235" s="970">
        <v>0</v>
      </c>
      <c r="I235" s="970">
        <v>0</v>
      </c>
      <c r="J235" s="974">
        <v>0</v>
      </c>
      <c r="K235" s="1420"/>
    </row>
    <row r="236" spans="1:11" x14ac:dyDescent="0.15">
      <c r="A236" s="1440" t="s">
        <v>376</v>
      </c>
      <c r="B236" s="963" t="s">
        <v>72</v>
      </c>
      <c r="C236" s="1072">
        <f t="shared" si="63"/>
        <v>40</v>
      </c>
      <c r="D236" s="964">
        <v>0</v>
      </c>
      <c r="E236" s="964">
        <v>0</v>
      </c>
      <c r="F236" s="966">
        <v>40</v>
      </c>
      <c r="G236" s="967">
        <v>0</v>
      </c>
      <c r="H236" s="964">
        <v>0</v>
      </c>
      <c r="I236" s="964">
        <v>0</v>
      </c>
      <c r="J236" s="968">
        <v>0</v>
      </c>
      <c r="K236" s="1420" t="s">
        <v>348</v>
      </c>
    </row>
    <row r="237" spans="1:11" x14ac:dyDescent="0.15">
      <c r="A237" s="1441"/>
      <c r="B237" s="969" t="s">
        <v>73</v>
      </c>
      <c r="C237" s="970">
        <f t="shared" si="63"/>
        <v>40</v>
      </c>
      <c r="D237" s="970">
        <v>0</v>
      </c>
      <c r="E237" s="970">
        <v>0</v>
      </c>
      <c r="F237" s="972">
        <v>40</v>
      </c>
      <c r="G237" s="973">
        <v>0</v>
      </c>
      <c r="H237" s="970">
        <v>0</v>
      </c>
      <c r="I237" s="970">
        <v>0</v>
      </c>
      <c r="J237" s="974">
        <v>0</v>
      </c>
      <c r="K237" s="1420"/>
    </row>
    <row r="238" spans="1:11" x14ac:dyDescent="0.15">
      <c r="A238" s="1440" t="s">
        <v>377</v>
      </c>
      <c r="B238" s="963" t="s">
        <v>72</v>
      </c>
      <c r="C238" s="1072">
        <f t="shared" si="63"/>
        <v>10</v>
      </c>
      <c r="D238" s="964">
        <v>0</v>
      </c>
      <c r="E238" s="964">
        <v>0</v>
      </c>
      <c r="F238" s="966">
        <v>10</v>
      </c>
      <c r="G238" s="967">
        <v>0</v>
      </c>
      <c r="H238" s="964">
        <v>0</v>
      </c>
      <c r="I238" s="964">
        <v>0</v>
      </c>
      <c r="J238" s="968">
        <v>0</v>
      </c>
      <c r="K238" s="1420" t="s">
        <v>348</v>
      </c>
    </row>
    <row r="239" spans="1:11" x14ac:dyDescent="0.15">
      <c r="A239" s="1441"/>
      <c r="B239" s="969" t="s">
        <v>73</v>
      </c>
      <c r="C239" s="970">
        <f t="shared" si="63"/>
        <v>10</v>
      </c>
      <c r="D239" s="970">
        <v>0</v>
      </c>
      <c r="E239" s="970">
        <v>0</v>
      </c>
      <c r="F239" s="972">
        <v>10</v>
      </c>
      <c r="G239" s="973">
        <v>0</v>
      </c>
      <c r="H239" s="970">
        <v>0</v>
      </c>
      <c r="I239" s="970">
        <v>0</v>
      </c>
      <c r="J239" s="974">
        <v>0</v>
      </c>
      <c r="K239" s="1420"/>
    </row>
    <row r="240" spans="1:11" x14ac:dyDescent="0.15">
      <c r="A240" s="1440" t="s">
        <v>378</v>
      </c>
      <c r="B240" s="963" t="s">
        <v>72</v>
      </c>
      <c r="C240" s="1072">
        <f t="shared" si="63"/>
        <v>30</v>
      </c>
      <c r="D240" s="964">
        <v>0</v>
      </c>
      <c r="E240" s="964">
        <v>0</v>
      </c>
      <c r="F240" s="966">
        <v>30</v>
      </c>
      <c r="G240" s="967">
        <v>0</v>
      </c>
      <c r="H240" s="964">
        <v>0</v>
      </c>
      <c r="I240" s="964">
        <v>0</v>
      </c>
      <c r="J240" s="968">
        <v>0</v>
      </c>
      <c r="K240" s="1420" t="s">
        <v>348</v>
      </c>
    </row>
    <row r="241" spans="1:11" x14ac:dyDescent="0.15">
      <c r="A241" s="1441"/>
      <c r="B241" s="969" t="s">
        <v>73</v>
      </c>
      <c r="C241" s="970">
        <f t="shared" si="63"/>
        <v>30</v>
      </c>
      <c r="D241" s="970">
        <v>0</v>
      </c>
      <c r="E241" s="970">
        <v>0</v>
      </c>
      <c r="F241" s="972">
        <v>30</v>
      </c>
      <c r="G241" s="973">
        <v>0</v>
      </c>
      <c r="H241" s="970">
        <v>0</v>
      </c>
      <c r="I241" s="970">
        <v>0</v>
      </c>
      <c r="J241" s="974">
        <v>0</v>
      </c>
      <c r="K241" s="1420"/>
    </row>
    <row r="242" spans="1:11" x14ac:dyDescent="0.15">
      <c r="A242" s="1440" t="s">
        <v>379</v>
      </c>
      <c r="B242" s="963" t="s">
        <v>72</v>
      </c>
      <c r="C242" s="1072">
        <f t="shared" si="63"/>
        <v>89</v>
      </c>
      <c r="D242" s="964">
        <v>0</v>
      </c>
      <c r="E242" s="964">
        <v>0</v>
      </c>
      <c r="F242" s="966">
        <v>89</v>
      </c>
      <c r="G242" s="967">
        <v>0</v>
      </c>
      <c r="H242" s="964">
        <v>0</v>
      </c>
      <c r="I242" s="964">
        <v>0</v>
      </c>
      <c r="J242" s="968">
        <v>0</v>
      </c>
      <c r="K242" s="1420" t="s">
        <v>348</v>
      </c>
    </row>
    <row r="243" spans="1:11" x14ac:dyDescent="0.15">
      <c r="A243" s="1441"/>
      <c r="B243" s="969" t="s">
        <v>73</v>
      </c>
      <c r="C243" s="970">
        <f t="shared" si="63"/>
        <v>89</v>
      </c>
      <c r="D243" s="970">
        <v>0</v>
      </c>
      <c r="E243" s="970">
        <v>0</v>
      </c>
      <c r="F243" s="972">
        <v>89</v>
      </c>
      <c r="G243" s="973">
        <v>0</v>
      </c>
      <c r="H243" s="970">
        <v>0</v>
      </c>
      <c r="I243" s="970">
        <v>0</v>
      </c>
      <c r="J243" s="974">
        <v>0</v>
      </c>
      <c r="K243" s="1420"/>
    </row>
    <row r="244" spans="1:11" x14ac:dyDescent="0.15">
      <c r="A244" s="1440" t="s">
        <v>380</v>
      </c>
      <c r="B244" s="963" t="s">
        <v>72</v>
      </c>
      <c r="C244" s="1072">
        <f t="shared" si="63"/>
        <v>26</v>
      </c>
      <c r="D244" s="964">
        <v>0</v>
      </c>
      <c r="E244" s="964">
        <v>0</v>
      </c>
      <c r="F244" s="966">
        <v>26</v>
      </c>
      <c r="G244" s="967">
        <v>0</v>
      </c>
      <c r="H244" s="964">
        <v>0</v>
      </c>
      <c r="I244" s="964">
        <v>0</v>
      </c>
      <c r="J244" s="968">
        <v>0</v>
      </c>
      <c r="K244" s="1420" t="s">
        <v>348</v>
      </c>
    </row>
    <row r="245" spans="1:11" x14ac:dyDescent="0.15">
      <c r="A245" s="1441"/>
      <c r="B245" s="969" t="s">
        <v>73</v>
      </c>
      <c r="C245" s="970">
        <f t="shared" si="63"/>
        <v>26</v>
      </c>
      <c r="D245" s="970">
        <v>0</v>
      </c>
      <c r="E245" s="970">
        <v>0</v>
      </c>
      <c r="F245" s="972">
        <v>26</v>
      </c>
      <c r="G245" s="973">
        <v>0</v>
      </c>
      <c r="H245" s="970">
        <v>0</v>
      </c>
      <c r="I245" s="970">
        <v>0</v>
      </c>
      <c r="J245" s="974">
        <v>0</v>
      </c>
      <c r="K245" s="1420"/>
    </row>
    <row r="246" spans="1:11" x14ac:dyDescent="0.15">
      <c r="A246" s="1440" t="s">
        <v>381</v>
      </c>
      <c r="B246" s="963" t="s">
        <v>72</v>
      </c>
      <c r="C246" s="1072">
        <f t="shared" si="63"/>
        <v>4</v>
      </c>
      <c r="D246" s="964">
        <v>0</v>
      </c>
      <c r="E246" s="964">
        <v>0</v>
      </c>
      <c r="F246" s="966">
        <v>4</v>
      </c>
      <c r="G246" s="967">
        <v>0</v>
      </c>
      <c r="H246" s="964">
        <v>0</v>
      </c>
      <c r="I246" s="964">
        <v>0</v>
      </c>
      <c r="J246" s="968">
        <v>0</v>
      </c>
      <c r="K246" s="1420" t="s">
        <v>348</v>
      </c>
    </row>
    <row r="247" spans="1:11" x14ac:dyDescent="0.15">
      <c r="A247" s="1441"/>
      <c r="B247" s="969" t="s">
        <v>73</v>
      </c>
      <c r="C247" s="970">
        <f t="shared" si="63"/>
        <v>4</v>
      </c>
      <c r="D247" s="970">
        <v>0</v>
      </c>
      <c r="E247" s="970">
        <v>0</v>
      </c>
      <c r="F247" s="972">
        <v>4</v>
      </c>
      <c r="G247" s="973">
        <v>0</v>
      </c>
      <c r="H247" s="970">
        <v>0</v>
      </c>
      <c r="I247" s="970">
        <v>0</v>
      </c>
      <c r="J247" s="974">
        <v>0</v>
      </c>
      <c r="K247" s="1420"/>
    </row>
    <row r="248" spans="1:11" x14ac:dyDescent="0.15">
      <c r="A248" s="1440" t="s">
        <v>382</v>
      </c>
      <c r="B248" s="963" t="s">
        <v>72</v>
      </c>
      <c r="C248" s="1072">
        <f t="shared" si="63"/>
        <v>70</v>
      </c>
      <c r="D248" s="964">
        <v>0</v>
      </c>
      <c r="E248" s="964">
        <v>0</v>
      </c>
      <c r="F248" s="966">
        <v>70</v>
      </c>
      <c r="G248" s="967">
        <v>0</v>
      </c>
      <c r="H248" s="964">
        <v>0</v>
      </c>
      <c r="I248" s="964">
        <v>0</v>
      </c>
      <c r="J248" s="968">
        <v>0</v>
      </c>
      <c r="K248" s="1420" t="s">
        <v>348</v>
      </c>
    </row>
    <row r="249" spans="1:11" x14ac:dyDescent="0.15">
      <c r="A249" s="1441"/>
      <c r="B249" s="969" t="s">
        <v>73</v>
      </c>
      <c r="C249" s="970">
        <f t="shared" si="63"/>
        <v>70</v>
      </c>
      <c r="D249" s="970">
        <v>0</v>
      </c>
      <c r="E249" s="970">
        <v>0</v>
      </c>
      <c r="F249" s="972">
        <v>70</v>
      </c>
      <c r="G249" s="973">
        <v>0</v>
      </c>
      <c r="H249" s="970">
        <v>0</v>
      </c>
      <c r="I249" s="970">
        <v>0</v>
      </c>
      <c r="J249" s="974">
        <v>0</v>
      </c>
      <c r="K249" s="1420"/>
    </row>
    <row r="250" spans="1:11" x14ac:dyDescent="0.15">
      <c r="A250" s="1440" t="s">
        <v>383</v>
      </c>
      <c r="B250" s="963" t="s">
        <v>72</v>
      </c>
      <c r="C250" s="1072">
        <f t="shared" si="63"/>
        <v>20</v>
      </c>
      <c r="D250" s="964">
        <v>0</v>
      </c>
      <c r="E250" s="964">
        <v>0</v>
      </c>
      <c r="F250" s="966">
        <v>20</v>
      </c>
      <c r="G250" s="967">
        <v>0</v>
      </c>
      <c r="H250" s="964">
        <v>0</v>
      </c>
      <c r="I250" s="964">
        <v>0</v>
      </c>
      <c r="J250" s="968">
        <v>0</v>
      </c>
      <c r="K250" s="1420" t="s">
        <v>348</v>
      </c>
    </row>
    <row r="251" spans="1:11" x14ac:dyDescent="0.15">
      <c r="A251" s="1441"/>
      <c r="B251" s="969" t="s">
        <v>73</v>
      </c>
      <c r="C251" s="970">
        <f t="shared" si="63"/>
        <v>20</v>
      </c>
      <c r="D251" s="970">
        <v>0</v>
      </c>
      <c r="E251" s="970">
        <v>0</v>
      </c>
      <c r="F251" s="972">
        <v>20</v>
      </c>
      <c r="G251" s="973">
        <v>0</v>
      </c>
      <c r="H251" s="970">
        <v>0</v>
      </c>
      <c r="I251" s="970">
        <v>0</v>
      </c>
      <c r="J251" s="974">
        <v>0</v>
      </c>
      <c r="K251" s="1420"/>
    </row>
    <row r="252" spans="1:11" x14ac:dyDescent="0.15">
      <c r="A252" s="1440" t="s">
        <v>384</v>
      </c>
      <c r="B252" s="963" t="s">
        <v>72</v>
      </c>
      <c r="C252" s="1072">
        <f t="shared" si="63"/>
        <v>20</v>
      </c>
      <c r="D252" s="964">
        <v>0</v>
      </c>
      <c r="E252" s="964">
        <v>0</v>
      </c>
      <c r="F252" s="966">
        <v>20</v>
      </c>
      <c r="G252" s="967">
        <v>0</v>
      </c>
      <c r="H252" s="964">
        <v>0</v>
      </c>
      <c r="I252" s="964">
        <v>0</v>
      </c>
      <c r="J252" s="968">
        <v>0</v>
      </c>
      <c r="K252" s="1420" t="s">
        <v>348</v>
      </c>
    </row>
    <row r="253" spans="1:11" x14ac:dyDescent="0.15">
      <c r="A253" s="1441"/>
      <c r="B253" s="969" t="s">
        <v>73</v>
      </c>
      <c r="C253" s="970">
        <f t="shared" si="63"/>
        <v>20</v>
      </c>
      <c r="D253" s="970">
        <v>0</v>
      </c>
      <c r="E253" s="970">
        <v>0</v>
      </c>
      <c r="F253" s="972">
        <v>20</v>
      </c>
      <c r="G253" s="973">
        <v>0</v>
      </c>
      <c r="H253" s="970">
        <v>0</v>
      </c>
      <c r="I253" s="970">
        <v>0</v>
      </c>
      <c r="J253" s="974">
        <v>0</v>
      </c>
      <c r="K253" s="1420"/>
    </row>
    <row r="254" spans="1:11" x14ac:dyDescent="0.15">
      <c r="A254" s="1440" t="s">
        <v>385</v>
      </c>
      <c r="B254" s="963" t="s">
        <v>72</v>
      </c>
      <c r="C254" s="1072">
        <f t="shared" si="63"/>
        <v>55</v>
      </c>
      <c r="D254" s="964">
        <v>0</v>
      </c>
      <c r="E254" s="964">
        <v>0</v>
      </c>
      <c r="F254" s="966">
        <v>55</v>
      </c>
      <c r="G254" s="967">
        <v>0</v>
      </c>
      <c r="H254" s="964">
        <v>0</v>
      </c>
      <c r="I254" s="964">
        <v>0</v>
      </c>
      <c r="J254" s="968">
        <v>0</v>
      </c>
      <c r="K254" s="1420" t="s">
        <v>348</v>
      </c>
    </row>
    <row r="255" spans="1:11" x14ac:dyDescent="0.15">
      <c r="A255" s="1441"/>
      <c r="B255" s="969" t="s">
        <v>73</v>
      </c>
      <c r="C255" s="970">
        <f t="shared" si="63"/>
        <v>55</v>
      </c>
      <c r="D255" s="970">
        <v>0</v>
      </c>
      <c r="E255" s="970">
        <v>0</v>
      </c>
      <c r="F255" s="972">
        <v>55</v>
      </c>
      <c r="G255" s="973">
        <v>0</v>
      </c>
      <c r="H255" s="970">
        <v>0</v>
      </c>
      <c r="I255" s="970">
        <v>0</v>
      </c>
      <c r="J255" s="974">
        <v>0</v>
      </c>
      <c r="K255" s="1420"/>
    </row>
    <row r="256" spans="1:11" x14ac:dyDescent="0.15">
      <c r="A256" s="1440" t="s">
        <v>386</v>
      </c>
      <c r="B256" s="963" t="s">
        <v>72</v>
      </c>
      <c r="C256" s="1072">
        <f t="shared" ref="C256:C319" si="64">D256+E256+F256+G256+H256+I256+J256</f>
        <v>50</v>
      </c>
      <c r="D256" s="964">
        <v>0</v>
      </c>
      <c r="E256" s="964">
        <v>0</v>
      </c>
      <c r="F256" s="966">
        <v>50</v>
      </c>
      <c r="G256" s="967">
        <v>0</v>
      </c>
      <c r="H256" s="964">
        <v>0</v>
      </c>
      <c r="I256" s="964">
        <v>0</v>
      </c>
      <c r="J256" s="968">
        <v>0</v>
      </c>
      <c r="K256" s="1420" t="s">
        <v>348</v>
      </c>
    </row>
    <row r="257" spans="1:11" x14ac:dyDescent="0.15">
      <c r="A257" s="1441"/>
      <c r="B257" s="969" t="s">
        <v>73</v>
      </c>
      <c r="C257" s="970">
        <f t="shared" si="64"/>
        <v>50</v>
      </c>
      <c r="D257" s="970">
        <v>0</v>
      </c>
      <c r="E257" s="970">
        <v>0</v>
      </c>
      <c r="F257" s="972">
        <v>50</v>
      </c>
      <c r="G257" s="973">
        <v>0</v>
      </c>
      <c r="H257" s="970">
        <v>0</v>
      </c>
      <c r="I257" s="970">
        <v>0</v>
      </c>
      <c r="J257" s="974">
        <v>0</v>
      </c>
      <c r="K257" s="1420"/>
    </row>
    <row r="258" spans="1:11" x14ac:dyDescent="0.15">
      <c r="A258" s="1440" t="s">
        <v>387</v>
      </c>
      <c r="B258" s="963" t="s">
        <v>72</v>
      </c>
      <c r="C258" s="1072">
        <f t="shared" si="64"/>
        <v>30</v>
      </c>
      <c r="D258" s="964">
        <v>0</v>
      </c>
      <c r="E258" s="964">
        <v>0</v>
      </c>
      <c r="F258" s="966">
        <v>30</v>
      </c>
      <c r="G258" s="967">
        <v>0</v>
      </c>
      <c r="H258" s="964">
        <v>0</v>
      </c>
      <c r="I258" s="964">
        <v>0</v>
      </c>
      <c r="J258" s="968">
        <v>0</v>
      </c>
      <c r="K258" s="1420" t="s">
        <v>348</v>
      </c>
    </row>
    <row r="259" spans="1:11" x14ac:dyDescent="0.15">
      <c r="A259" s="1441"/>
      <c r="B259" s="969" t="s">
        <v>73</v>
      </c>
      <c r="C259" s="970">
        <f t="shared" si="64"/>
        <v>30</v>
      </c>
      <c r="D259" s="970">
        <v>0</v>
      </c>
      <c r="E259" s="970">
        <v>0</v>
      </c>
      <c r="F259" s="972">
        <v>30</v>
      </c>
      <c r="G259" s="973">
        <v>0</v>
      </c>
      <c r="H259" s="970">
        <v>0</v>
      </c>
      <c r="I259" s="970">
        <v>0</v>
      </c>
      <c r="J259" s="974">
        <v>0</v>
      </c>
      <c r="K259" s="1420"/>
    </row>
    <row r="260" spans="1:11" x14ac:dyDescent="0.15">
      <c r="A260" s="1440" t="s">
        <v>388</v>
      </c>
      <c r="B260" s="963" t="s">
        <v>72</v>
      </c>
      <c r="C260" s="1072">
        <f t="shared" si="64"/>
        <v>73</v>
      </c>
      <c r="D260" s="964">
        <v>0</v>
      </c>
      <c r="E260" s="964">
        <v>0</v>
      </c>
      <c r="F260" s="966">
        <f>75-2</f>
        <v>73</v>
      </c>
      <c r="G260" s="967">
        <v>0</v>
      </c>
      <c r="H260" s="964">
        <v>0</v>
      </c>
      <c r="I260" s="964">
        <v>0</v>
      </c>
      <c r="J260" s="968">
        <v>0</v>
      </c>
      <c r="K260" s="1420" t="s">
        <v>348</v>
      </c>
    </row>
    <row r="261" spans="1:11" x14ac:dyDescent="0.15">
      <c r="A261" s="1441"/>
      <c r="B261" s="969" t="s">
        <v>73</v>
      </c>
      <c r="C261" s="970">
        <f t="shared" si="64"/>
        <v>73</v>
      </c>
      <c r="D261" s="970">
        <v>0</v>
      </c>
      <c r="E261" s="970">
        <v>0</v>
      </c>
      <c r="F261" s="972">
        <f>75-2</f>
        <v>73</v>
      </c>
      <c r="G261" s="973">
        <v>0</v>
      </c>
      <c r="H261" s="970">
        <v>0</v>
      </c>
      <c r="I261" s="970">
        <v>0</v>
      </c>
      <c r="J261" s="974">
        <v>0</v>
      </c>
      <c r="K261" s="1420"/>
    </row>
    <row r="262" spans="1:11" x14ac:dyDescent="0.15">
      <c r="A262" s="1440" t="s">
        <v>389</v>
      </c>
      <c r="B262" s="963" t="s">
        <v>72</v>
      </c>
      <c r="C262" s="1072">
        <f t="shared" si="64"/>
        <v>89</v>
      </c>
      <c r="D262" s="964">
        <v>0</v>
      </c>
      <c r="E262" s="964">
        <v>0</v>
      </c>
      <c r="F262" s="966">
        <v>89</v>
      </c>
      <c r="G262" s="967">
        <v>0</v>
      </c>
      <c r="H262" s="964">
        <v>0</v>
      </c>
      <c r="I262" s="964">
        <v>0</v>
      </c>
      <c r="J262" s="968">
        <v>0</v>
      </c>
      <c r="K262" s="1420" t="s">
        <v>348</v>
      </c>
    </row>
    <row r="263" spans="1:11" x14ac:dyDescent="0.15">
      <c r="A263" s="1441"/>
      <c r="B263" s="969" t="s">
        <v>73</v>
      </c>
      <c r="C263" s="970">
        <f t="shared" si="64"/>
        <v>89</v>
      </c>
      <c r="D263" s="970">
        <v>0</v>
      </c>
      <c r="E263" s="970">
        <v>0</v>
      </c>
      <c r="F263" s="972">
        <v>89</v>
      </c>
      <c r="G263" s="973">
        <v>0</v>
      </c>
      <c r="H263" s="970">
        <v>0</v>
      </c>
      <c r="I263" s="970">
        <v>0</v>
      </c>
      <c r="J263" s="974">
        <v>0</v>
      </c>
      <c r="K263" s="1420"/>
    </row>
    <row r="264" spans="1:11" x14ac:dyDescent="0.15">
      <c r="A264" s="1440" t="s">
        <v>390</v>
      </c>
      <c r="B264" s="963" t="s">
        <v>72</v>
      </c>
      <c r="C264" s="1072">
        <f t="shared" si="64"/>
        <v>20</v>
      </c>
      <c r="D264" s="964">
        <v>0</v>
      </c>
      <c r="E264" s="964">
        <v>0</v>
      </c>
      <c r="F264" s="966">
        <v>20</v>
      </c>
      <c r="G264" s="967">
        <v>0</v>
      </c>
      <c r="H264" s="964">
        <v>0</v>
      </c>
      <c r="I264" s="964">
        <v>0</v>
      </c>
      <c r="J264" s="968">
        <v>0</v>
      </c>
      <c r="K264" s="1420" t="s">
        <v>348</v>
      </c>
    </row>
    <row r="265" spans="1:11" x14ac:dyDescent="0.15">
      <c r="A265" s="1441"/>
      <c r="B265" s="969" t="s">
        <v>73</v>
      </c>
      <c r="C265" s="970">
        <f t="shared" si="64"/>
        <v>20</v>
      </c>
      <c r="D265" s="970">
        <v>0</v>
      </c>
      <c r="E265" s="970">
        <v>0</v>
      </c>
      <c r="F265" s="972">
        <v>20</v>
      </c>
      <c r="G265" s="973">
        <v>0</v>
      </c>
      <c r="H265" s="970">
        <v>0</v>
      </c>
      <c r="I265" s="970">
        <v>0</v>
      </c>
      <c r="J265" s="974">
        <v>0</v>
      </c>
      <c r="K265" s="1420"/>
    </row>
    <row r="266" spans="1:11" x14ac:dyDescent="0.15">
      <c r="A266" s="1440" t="s">
        <v>391</v>
      </c>
      <c r="B266" s="963" t="s">
        <v>72</v>
      </c>
      <c r="C266" s="1072">
        <f t="shared" si="64"/>
        <v>20</v>
      </c>
      <c r="D266" s="964">
        <v>0</v>
      </c>
      <c r="E266" s="964">
        <v>0</v>
      </c>
      <c r="F266" s="966">
        <v>20</v>
      </c>
      <c r="G266" s="967">
        <v>0</v>
      </c>
      <c r="H266" s="964">
        <v>0</v>
      </c>
      <c r="I266" s="964">
        <v>0</v>
      </c>
      <c r="J266" s="968">
        <v>0</v>
      </c>
      <c r="K266" s="1420" t="s">
        <v>348</v>
      </c>
    </row>
    <row r="267" spans="1:11" x14ac:dyDescent="0.15">
      <c r="A267" s="1441"/>
      <c r="B267" s="969" t="s">
        <v>73</v>
      </c>
      <c r="C267" s="970">
        <f t="shared" si="64"/>
        <v>20</v>
      </c>
      <c r="D267" s="970">
        <v>0</v>
      </c>
      <c r="E267" s="970">
        <v>0</v>
      </c>
      <c r="F267" s="972">
        <v>20</v>
      </c>
      <c r="G267" s="973">
        <v>0</v>
      </c>
      <c r="H267" s="970">
        <v>0</v>
      </c>
      <c r="I267" s="970">
        <v>0</v>
      </c>
      <c r="J267" s="974">
        <v>0</v>
      </c>
      <c r="K267" s="1420"/>
    </row>
    <row r="268" spans="1:11" x14ac:dyDescent="0.15">
      <c r="A268" s="1440" t="s">
        <v>392</v>
      </c>
      <c r="B268" s="963" t="s">
        <v>72</v>
      </c>
      <c r="C268" s="1072">
        <f t="shared" si="64"/>
        <v>15</v>
      </c>
      <c r="D268" s="964">
        <v>0</v>
      </c>
      <c r="E268" s="964">
        <v>0</v>
      </c>
      <c r="F268" s="966">
        <v>15</v>
      </c>
      <c r="G268" s="967">
        <v>0</v>
      </c>
      <c r="H268" s="964">
        <v>0</v>
      </c>
      <c r="I268" s="964">
        <v>0</v>
      </c>
      <c r="J268" s="968">
        <v>0</v>
      </c>
      <c r="K268" s="1420" t="s">
        <v>348</v>
      </c>
    </row>
    <row r="269" spans="1:11" x14ac:dyDescent="0.15">
      <c r="A269" s="1441"/>
      <c r="B269" s="969" t="s">
        <v>73</v>
      </c>
      <c r="C269" s="970">
        <f t="shared" si="64"/>
        <v>15</v>
      </c>
      <c r="D269" s="970">
        <v>0</v>
      </c>
      <c r="E269" s="970">
        <v>0</v>
      </c>
      <c r="F269" s="972">
        <v>15</v>
      </c>
      <c r="G269" s="973">
        <v>0</v>
      </c>
      <c r="H269" s="970">
        <v>0</v>
      </c>
      <c r="I269" s="970">
        <v>0</v>
      </c>
      <c r="J269" s="974">
        <v>0</v>
      </c>
      <c r="K269" s="1420"/>
    </row>
    <row r="270" spans="1:11" x14ac:dyDescent="0.15">
      <c r="A270" s="1440" t="s">
        <v>393</v>
      </c>
      <c r="B270" s="963" t="s">
        <v>72</v>
      </c>
      <c r="C270" s="1072">
        <f t="shared" si="64"/>
        <v>25</v>
      </c>
      <c r="D270" s="964">
        <v>0</v>
      </c>
      <c r="E270" s="964">
        <v>0</v>
      </c>
      <c r="F270" s="966">
        <v>25</v>
      </c>
      <c r="G270" s="967">
        <v>0</v>
      </c>
      <c r="H270" s="964">
        <v>0</v>
      </c>
      <c r="I270" s="964">
        <v>0</v>
      </c>
      <c r="J270" s="968">
        <v>0</v>
      </c>
      <c r="K270" s="1420" t="s">
        <v>348</v>
      </c>
    </row>
    <row r="271" spans="1:11" x14ac:dyDescent="0.15">
      <c r="A271" s="1441"/>
      <c r="B271" s="969" t="s">
        <v>73</v>
      </c>
      <c r="C271" s="970">
        <f t="shared" si="64"/>
        <v>25</v>
      </c>
      <c r="D271" s="970">
        <v>0</v>
      </c>
      <c r="E271" s="970">
        <v>0</v>
      </c>
      <c r="F271" s="972">
        <v>25</v>
      </c>
      <c r="G271" s="973">
        <v>0</v>
      </c>
      <c r="H271" s="970">
        <v>0</v>
      </c>
      <c r="I271" s="970">
        <v>0</v>
      </c>
      <c r="J271" s="974">
        <v>0</v>
      </c>
      <c r="K271" s="1420"/>
    </row>
    <row r="272" spans="1:11" x14ac:dyDescent="0.15">
      <c r="A272" s="1440" t="s">
        <v>394</v>
      </c>
      <c r="B272" s="963" t="s">
        <v>72</v>
      </c>
      <c r="C272" s="1072">
        <f t="shared" si="64"/>
        <v>89</v>
      </c>
      <c r="D272" s="964">
        <v>0</v>
      </c>
      <c r="E272" s="964">
        <v>0</v>
      </c>
      <c r="F272" s="966">
        <v>89</v>
      </c>
      <c r="G272" s="967">
        <v>0</v>
      </c>
      <c r="H272" s="964">
        <v>0</v>
      </c>
      <c r="I272" s="964">
        <v>0</v>
      </c>
      <c r="J272" s="968">
        <v>0</v>
      </c>
      <c r="K272" s="1420" t="s">
        <v>348</v>
      </c>
    </row>
    <row r="273" spans="1:11" x14ac:dyDescent="0.15">
      <c r="A273" s="1441"/>
      <c r="B273" s="969" t="s">
        <v>73</v>
      </c>
      <c r="C273" s="970">
        <f t="shared" si="64"/>
        <v>89</v>
      </c>
      <c r="D273" s="970">
        <v>0</v>
      </c>
      <c r="E273" s="970">
        <v>0</v>
      </c>
      <c r="F273" s="972">
        <v>89</v>
      </c>
      <c r="G273" s="973">
        <v>0</v>
      </c>
      <c r="H273" s="970">
        <v>0</v>
      </c>
      <c r="I273" s="970">
        <v>0</v>
      </c>
      <c r="J273" s="974">
        <v>0</v>
      </c>
      <c r="K273" s="1420"/>
    </row>
    <row r="274" spans="1:11" x14ac:dyDescent="0.15">
      <c r="A274" s="1440" t="s">
        <v>395</v>
      </c>
      <c r="B274" s="963" t="s">
        <v>72</v>
      </c>
      <c r="C274" s="1072">
        <f t="shared" si="64"/>
        <v>30</v>
      </c>
      <c r="D274" s="964">
        <v>0</v>
      </c>
      <c r="E274" s="964">
        <v>0</v>
      </c>
      <c r="F274" s="966">
        <v>30</v>
      </c>
      <c r="G274" s="967">
        <v>0</v>
      </c>
      <c r="H274" s="964">
        <v>0</v>
      </c>
      <c r="I274" s="964">
        <v>0</v>
      </c>
      <c r="J274" s="968">
        <v>0</v>
      </c>
      <c r="K274" s="1420" t="s">
        <v>348</v>
      </c>
    </row>
    <row r="275" spans="1:11" x14ac:dyDescent="0.15">
      <c r="A275" s="1441"/>
      <c r="B275" s="969" t="s">
        <v>73</v>
      </c>
      <c r="C275" s="970">
        <f t="shared" si="64"/>
        <v>30</v>
      </c>
      <c r="D275" s="970">
        <v>0</v>
      </c>
      <c r="E275" s="970">
        <v>0</v>
      </c>
      <c r="F275" s="972">
        <v>30</v>
      </c>
      <c r="G275" s="973">
        <v>0</v>
      </c>
      <c r="H275" s="970">
        <v>0</v>
      </c>
      <c r="I275" s="970">
        <v>0</v>
      </c>
      <c r="J275" s="974">
        <v>0</v>
      </c>
      <c r="K275" s="1420"/>
    </row>
    <row r="276" spans="1:11" x14ac:dyDescent="0.15">
      <c r="A276" s="1440" t="s">
        <v>396</v>
      </c>
      <c r="B276" s="963" t="s">
        <v>72</v>
      </c>
      <c r="C276" s="1072">
        <f t="shared" si="64"/>
        <v>5</v>
      </c>
      <c r="D276" s="964">
        <v>0</v>
      </c>
      <c r="E276" s="964">
        <v>0</v>
      </c>
      <c r="F276" s="966">
        <v>5</v>
      </c>
      <c r="G276" s="967">
        <v>0</v>
      </c>
      <c r="H276" s="964">
        <v>0</v>
      </c>
      <c r="I276" s="964">
        <v>0</v>
      </c>
      <c r="J276" s="968">
        <v>0</v>
      </c>
      <c r="K276" s="1420" t="s">
        <v>348</v>
      </c>
    </row>
    <row r="277" spans="1:11" x14ac:dyDescent="0.15">
      <c r="A277" s="1441"/>
      <c r="B277" s="969" t="s">
        <v>73</v>
      </c>
      <c r="C277" s="970">
        <f t="shared" si="64"/>
        <v>5</v>
      </c>
      <c r="D277" s="970">
        <v>0</v>
      </c>
      <c r="E277" s="970">
        <v>0</v>
      </c>
      <c r="F277" s="972">
        <v>5</v>
      </c>
      <c r="G277" s="973">
        <v>0</v>
      </c>
      <c r="H277" s="970">
        <v>0</v>
      </c>
      <c r="I277" s="970">
        <v>0</v>
      </c>
      <c r="J277" s="974">
        <v>0</v>
      </c>
      <c r="K277" s="1420"/>
    </row>
    <row r="278" spans="1:11" x14ac:dyDescent="0.15">
      <c r="A278" s="1440" t="s">
        <v>397</v>
      </c>
      <c r="B278" s="963" t="s">
        <v>72</v>
      </c>
      <c r="C278" s="1072">
        <f t="shared" si="64"/>
        <v>10</v>
      </c>
      <c r="D278" s="964">
        <v>0</v>
      </c>
      <c r="E278" s="964">
        <v>0</v>
      </c>
      <c r="F278" s="966">
        <v>10</v>
      </c>
      <c r="G278" s="967">
        <v>0</v>
      </c>
      <c r="H278" s="964">
        <v>0</v>
      </c>
      <c r="I278" s="964">
        <v>0</v>
      </c>
      <c r="J278" s="968">
        <v>0</v>
      </c>
      <c r="K278" s="1420" t="s">
        <v>348</v>
      </c>
    </row>
    <row r="279" spans="1:11" x14ac:dyDescent="0.15">
      <c r="A279" s="1441"/>
      <c r="B279" s="969" t="s">
        <v>73</v>
      </c>
      <c r="C279" s="970">
        <f t="shared" si="64"/>
        <v>10</v>
      </c>
      <c r="D279" s="970">
        <v>0</v>
      </c>
      <c r="E279" s="970">
        <v>0</v>
      </c>
      <c r="F279" s="972">
        <v>10</v>
      </c>
      <c r="G279" s="973">
        <v>0</v>
      </c>
      <c r="H279" s="970">
        <v>0</v>
      </c>
      <c r="I279" s="970">
        <v>0</v>
      </c>
      <c r="J279" s="974">
        <v>0</v>
      </c>
      <c r="K279" s="1420"/>
    </row>
    <row r="280" spans="1:11" x14ac:dyDescent="0.15">
      <c r="A280" s="1440" t="s">
        <v>398</v>
      </c>
      <c r="B280" s="963" t="s">
        <v>72</v>
      </c>
      <c r="C280" s="1072">
        <f t="shared" si="64"/>
        <v>30</v>
      </c>
      <c r="D280" s="964">
        <v>0</v>
      </c>
      <c r="E280" s="964">
        <v>0</v>
      </c>
      <c r="F280" s="966">
        <v>30</v>
      </c>
      <c r="G280" s="967">
        <v>0</v>
      </c>
      <c r="H280" s="964">
        <v>0</v>
      </c>
      <c r="I280" s="964">
        <v>0</v>
      </c>
      <c r="J280" s="968">
        <v>0</v>
      </c>
      <c r="K280" s="1420" t="s">
        <v>348</v>
      </c>
    </row>
    <row r="281" spans="1:11" x14ac:dyDescent="0.15">
      <c r="A281" s="1441"/>
      <c r="B281" s="969" t="s">
        <v>73</v>
      </c>
      <c r="C281" s="970">
        <f t="shared" si="64"/>
        <v>30</v>
      </c>
      <c r="D281" s="970">
        <v>0</v>
      </c>
      <c r="E281" s="970">
        <v>0</v>
      </c>
      <c r="F281" s="972">
        <v>30</v>
      </c>
      <c r="G281" s="973">
        <v>0</v>
      </c>
      <c r="H281" s="970">
        <v>0</v>
      </c>
      <c r="I281" s="970">
        <v>0</v>
      </c>
      <c r="J281" s="974">
        <v>0</v>
      </c>
      <c r="K281" s="1420"/>
    </row>
    <row r="282" spans="1:11" x14ac:dyDescent="0.15">
      <c r="A282" s="1440" t="s">
        <v>399</v>
      </c>
      <c r="B282" s="963" t="s">
        <v>72</v>
      </c>
      <c r="C282" s="1072">
        <f t="shared" si="64"/>
        <v>89</v>
      </c>
      <c r="D282" s="964">
        <v>0</v>
      </c>
      <c r="E282" s="964">
        <v>0</v>
      </c>
      <c r="F282" s="966">
        <v>89</v>
      </c>
      <c r="G282" s="967">
        <v>0</v>
      </c>
      <c r="H282" s="964">
        <v>0</v>
      </c>
      <c r="I282" s="964">
        <v>0</v>
      </c>
      <c r="J282" s="968">
        <v>0</v>
      </c>
      <c r="K282" s="1420" t="s">
        <v>348</v>
      </c>
    </row>
    <row r="283" spans="1:11" x14ac:dyDescent="0.15">
      <c r="A283" s="1441"/>
      <c r="B283" s="969" t="s">
        <v>73</v>
      </c>
      <c r="C283" s="970">
        <f t="shared" si="64"/>
        <v>89</v>
      </c>
      <c r="D283" s="970">
        <v>0</v>
      </c>
      <c r="E283" s="970">
        <v>0</v>
      </c>
      <c r="F283" s="972">
        <v>89</v>
      </c>
      <c r="G283" s="973">
        <v>0</v>
      </c>
      <c r="H283" s="970">
        <v>0</v>
      </c>
      <c r="I283" s="970">
        <v>0</v>
      </c>
      <c r="J283" s="974">
        <v>0</v>
      </c>
      <c r="K283" s="1420"/>
    </row>
    <row r="284" spans="1:11" x14ac:dyDescent="0.15">
      <c r="A284" s="1440" t="s">
        <v>400</v>
      </c>
      <c r="B284" s="963" t="s">
        <v>72</v>
      </c>
      <c r="C284" s="1072">
        <f t="shared" si="64"/>
        <v>15</v>
      </c>
      <c r="D284" s="964">
        <v>0</v>
      </c>
      <c r="E284" s="964">
        <v>0</v>
      </c>
      <c r="F284" s="966">
        <v>15</v>
      </c>
      <c r="G284" s="967">
        <v>0</v>
      </c>
      <c r="H284" s="964">
        <v>0</v>
      </c>
      <c r="I284" s="964">
        <v>0</v>
      </c>
      <c r="J284" s="968">
        <v>0</v>
      </c>
      <c r="K284" s="1420" t="s">
        <v>348</v>
      </c>
    </row>
    <row r="285" spans="1:11" x14ac:dyDescent="0.15">
      <c r="A285" s="1441"/>
      <c r="B285" s="969" t="s">
        <v>73</v>
      </c>
      <c r="C285" s="970">
        <f t="shared" si="64"/>
        <v>15</v>
      </c>
      <c r="D285" s="970">
        <v>0</v>
      </c>
      <c r="E285" s="970">
        <v>0</v>
      </c>
      <c r="F285" s="972">
        <v>15</v>
      </c>
      <c r="G285" s="973">
        <v>0</v>
      </c>
      <c r="H285" s="970">
        <v>0</v>
      </c>
      <c r="I285" s="970">
        <v>0</v>
      </c>
      <c r="J285" s="974">
        <v>0</v>
      </c>
      <c r="K285" s="1420"/>
    </row>
    <row r="286" spans="1:11" x14ac:dyDescent="0.15">
      <c r="A286" s="1440" t="s">
        <v>401</v>
      </c>
      <c r="B286" s="963" t="s">
        <v>72</v>
      </c>
      <c r="C286" s="1072">
        <f t="shared" si="64"/>
        <v>15</v>
      </c>
      <c r="D286" s="964">
        <v>0</v>
      </c>
      <c r="E286" s="964">
        <v>0</v>
      </c>
      <c r="F286" s="966">
        <v>15</v>
      </c>
      <c r="G286" s="967">
        <v>0</v>
      </c>
      <c r="H286" s="964">
        <v>0</v>
      </c>
      <c r="I286" s="964">
        <v>0</v>
      </c>
      <c r="J286" s="968">
        <v>0</v>
      </c>
      <c r="K286" s="1420" t="s">
        <v>348</v>
      </c>
    </row>
    <row r="287" spans="1:11" x14ac:dyDescent="0.15">
      <c r="A287" s="1441"/>
      <c r="B287" s="969" t="s">
        <v>73</v>
      </c>
      <c r="C287" s="970">
        <f t="shared" si="64"/>
        <v>15</v>
      </c>
      <c r="D287" s="970">
        <v>0</v>
      </c>
      <c r="E287" s="970">
        <v>0</v>
      </c>
      <c r="F287" s="972">
        <v>15</v>
      </c>
      <c r="G287" s="973">
        <v>0</v>
      </c>
      <c r="H287" s="970">
        <v>0</v>
      </c>
      <c r="I287" s="970">
        <v>0</v>
      </c>
      <c r="J287" s="974">
        <v>0</v>
      </c>
      <c r="K287" s="1420"/>
    </row>
    <row r="288" spans="1:11" x14ac:dyDescent="0.15">
      <c r="A288" s="1440" t="s">
        <v>402</v>
      </c>
      <c r="B288" s="963" t="s">
        <v>72</v>
      </c>
      <c r="C288" s="1072">
        <f t="shared" si="64"/>
        <v>25</v>
      </c>
      <c r="D288" s="964">
        <v>0</v>
      </c>
      <c r="E288" s="964">
        <v>0</v>
      </c>
      <c r="F288" s="966">
        <v>25</v>
      </c>
      <c r="G288" s="967">
        <v>0</v>
      </c>
      <c r="H288" s="964">
        <v>0</v>
      </c>
      <c r="I288" s="964">
        <v>0</v>
      </c>
      <c r="J288" s="968">
        <v>0</v>
      </c>
      <c r="K288" s="1420" t="s">
        <v>348</v>
      </c>
    </row>
    <row r="289" spans="1:11" x14ac:dyDescent="0.15">
      <c r="A289" s="1441"/>
      <c r="B289" s="969" t="s">
        <v>73</v>
      </c>
      <c r="C289" s="970">
        <f t="shared" si="64"/>
        <v>25</v>
      </c>
      <c r="D289" s="970">
        <v>0</v>
      </c>
      <c r="E289" s="970">
        <v>0</v>
      </c>
      <c r="F289" s="972">
        <v>25</v>
      </c>
      <c r="G289" s="973">
        <v>0</v>
      </c>
      <c r="H289" s="970">
        <v>0</v>
      </c>
      <c r="I289" s="970">
        <v>0</v>
      </c>
      <c r="J289" s="974">
        <v>0</v>
      </c>
      <c r="K289" s="1420"/>
    </row>
    <row r="290" spans="1:11" x14ac:dyDescent="0.15">
      <c r="A290" s="1440" t="s">
        <v>403</v>
      </c>
      <c r="B290" s="963" t="s">
        <v>72</v>
      </c>
      <c r="C290" s="1072">
        <f t="shared" si="64"/>
        <v>55</v>
      </c>
      <c r="D290" s="964">
        <v>0</v>
      </c>
      <c r="E290" s="964">
        <v>0</v>
      </c>
      <c r="F290" s="966">
        <v>55</v>
      </c>
      <c r="G290" s="967">
        <v>0</v>
      </c>
      <c r="H290" s="964">
        <v>0</v>
      </c>
      <c r="I290" s="964">
        <v>0</v>
      </c>
      <c r="J290" s="968">
        <v>0</v>
      </c>
      <c r="K290" s="1420" t="s">
        <v>348</v>
      </c>
    </row>
    <row r="291" spans="1:11" x14ac:dyDescent="0.15">
      <c r="A291" s="1441"/>
      <c r="B291" s="969" t="s">
        <v>73</v>
      </c>
      <c r="C291" s="970">
        <f t="shared" si="64"/>
        <v>55</v>
      </c>
      <c r="D291" s="970">
        <v>0</v>
      </c>
      <c r="E291" s="970">
        <v>0</v>
      </c>
      <c r="F291" s="972">
        <v>55</v>
      </c>
      <c r="G291" s="973">
        <v>0</v>
      </c>
      <c r="H291" s="970">
        <v>0</v>
      </c>
      <c r="I291" s="970">
        <v>0</v>
      </c>
      <c r="J291" s="974">
        <v>0</v>
      </c>
      <c r="K291" s="1420"/>
    </row>
    <row r="292" spans="1:11" x14ac:dyDescent="0.15">
      <c r="A292" s="1440" t="s">
        <v>404</v>
      </c>
      <c r="B292" s="963" t="s">
        <v>72</v>
      </c>
      <c r="C292" s="1072">
        <f t="shared" si="64"/>
        <v>89</v>
      </c>
      <c r="D292" s="964">
        <v>0</v>
      </c>
      <c r="E292" s="964">
        <v>0</v>
      </c>
      <c r="F292" s="966">
        <v>89</v>
      </c>
      <c r="G292" s="967">
        <v>0</v>
      </c>
      <c r="H292" s="964">
        <v>0</v>
      </c>
      <c r="I292" s="964">
        <v>0</v>
      </c>
      <c r="J292" s="968">
        <v>0</v>
      </c>
      <c r="K292" s="1420" t="s">
        <v>348</v>
      </c>
    </row>
    <row r="293" spans="1:11" x14ac:dyDescent="0.15">
      <c r="A293" s="1441"/>
      <c r="B293" s="969" t="s">
        <v>73</v>
      </c>
      <c r="C293" s="970">
        <f t="shared" si="64"/>
        <v>89</v>
      </c>
      <c r="D293" s="970">
        <v>0</v>
      </c>
      <c r="E293" s="970">
        <v>0</v>
      </c>
      <c r="F293" s="972">
        <v>89</v>
      </c>
      <c r="G293" s="973">
        <v>0</v>
      </c>
      <c r="H293" s="970">
        <v>0</v>
      </c>
      <c r="I293" s="970">
        <v>0</v>
      </c>
      <c r="J293" s="974">
        <v>0</v>
      </c>
      <c r="K293" s="1420"/>
    </row>
    <row r="294" spans="1:11" x14ac:dyDescent="0.15">
      <c r="A294" s="1440" t="s">
        <v>405</v>
      </c>
      <c r="B294" s="963" t="s">
        <v>72</v>
      </c>
      <c r="C294" s="1072">
        <f t="shared" si="64"/>
        <v>65</v>
      </c>
      <c r="D294" s="964">
        <v>0</v>
      </c>
      <c r="E294" s="964">
        <v>0</v>
      </c>
      <c r="F294" s="966">
        <v>65</v>
      </c>
      <c r="G294" s="967">
        <v>0</v>
      </c>
      <c r="H294" s="964">
        <v>0</v>
      </c>
      <c r="I294" s="964">
        <v>0</v>
      </c>
      <c r="J294" s="968">
        <v>0</v>
      </c>
      <c r="K294" s="1420" t="s">
        <v>348</v>
      </c>
    </row>
    <row r="295" spans="1:11" x14ac:dyDescent="0.15">
      <c r="A295" s="1441"/>
      <c r="B295" s="969" t="s">
        <v>73</v>
      </c>
      <c r="C295" s="970">
        <f t="shared" si="64"/>
        <v>65</v>
      </c>
      <c r="D295" s="970">
        <v>0</v>
      </c>
      <c r="E295" s="970">
        <v>0</v>
      </c>
      <c r="F295" s="972">
        <v>65</v>
      </c>
      <c r="G295" s="973">
        <v>0</v>
      </c>
      <c r="H295" s="970">
        <v>0</v>
      </c>
      <c r="I295" s="970">
        <v>0</v>
      </c>
      <c r="J295" s="974">
        <v>0</v>
      </c>
      <c r="K295" s="1420"/>
    </row>
    <row r="296" spans="1:11" x14ac:dyDescent="0.15">
      <c r="A296" s="1440" t="s">
        <v>406</v>
      </c>
      <c r="B296" s="963" t="s">
        <v>72</v>
      </c>
      <c r="C296" s="1072">
        <f t="shared" si="64"/>
        <v>15</v>
      </c>
      <c r="D296" s="964">
        <v>0</v>
      </c>
      <c r="E296" s="964">
        <v>0</v>
      </c>
      <c r="F296" s="966">
        <v>15</v>
      </c>
      <c r="G296" s="967">
        <v>0</v>
      </c>
      <c r="H296" s="964">
        <v>0</v>
      </c>
      <c r="I296" s="964">
        <v>0</v>
      </c>
      <c r="J296" s="968">
        <v>0</v>
      </c>
      <c r="K296" s="1420" t="s">
        <v>348</v>
      </c>
    </row>
    <row r="297" spans="1:11" x14ac:dyDescent="0.15">
      <c r="A297" s="1441"/>
      <c r="B297" s="969" t="s">
        <v>73</v>
      </c>
      <c r="C297" s="970">
        <f t="shared" si="64"/>
        <v>15</v>
      </c>
      <c r="D297" s="970">
        <v>0</v>
      </c>
      <c r="E297" s="970">
        <v>0</v>
      </c>
      <c r="F297" s="972">
        <v>15</v>
      </c>
      <c r="G297" s="973">
        <v>0</v>
      </c>
      <c r="H297" s="970">
        <v>0</v>
      </c>
      <c r="I297" s="970">
        <v>0</v>
      </c>
      <c r="J297" s="974">
        <v>0</v>
      </c>
      <c r="K297" s="1420"/>
    </row>
    <row r="298" spans="1:11" x14ac:dyDescent="0.15">
      <c r="A298" s="1440" t="s">
        <v>407</v>
      </c>
      <c r="B298" s="963" t="s">
        <v>72</v>
      </c>
      <c r="C298" s="1072">
        <f t="shared" si="64"/>
        <v>50</v>
      </c>
      <c r="D298" s="964">
        <v>0</v>
      </c>
      <c r="E298" s="964">
        <v>0</v>
      </c>
      <c r="F298" s="966">
        <v>50</v>
      </c>
      <c r="G298" s="967">
        <v>0</v>
      </c>
      <c r="H298" s="964">
        <v>0</v>
      </c>
      <c r="I298" s="964">
        <v>0</v>
      </c>
      <c r="J298" s="968">
        <v>0</v>
      </c>
      <c r="K298" s="1420" t="s">
        <v>348</v>
      </c>
    </row>
    <row r="299" spans="1:11" x14ac:dyDescent="0.15">
      <c r="A299" s="1441"/>
      <c r="B299" s="969" t="s">
        <v>73</v>
      </c>
      <c r="C299" s="970">
        <f t="shared" si="64"/>
        <v>50</v>
      </c>
      <c r="D299" s="970">
        <v>0</v>
      </c>
      <c r="E299" s="970">
        <v>0</v>
      </c>
      <c r="F299" s="972">
        <v>50</v>
      </c>
      <c r="G299" s="973">
        <v>0</v>
      </c>
      <c r="H299" s="970">
        <v>0</v>
      </c>
      <c r="I299" s="970">
        <v>0</v>
      </c>
      <c r="J299" s="974">
        <v>0</v>
      </c>
      <c r="K299" s="1420"/>
    </row>
    <row r="300" spans="1:11" ht="11.25" customHeight="1" x14ac:dyDescent="0.15">
      <c r="A300" s="1440" t="s">
        <v>408</v>
      </c>
      <c r="B300" s="963" t="s">
        <v>72</v>
      </c>
      <c r="C300" s="1072">
        <f t="shared" si="64"/>
        <v>25</v>
      </c>
      <c r="D300" s="964">
        <v>0</v>
      </c>
      <c r="E300" s="964">
        <v>0</v>
      </c>
      <c r="F300" s="966">
        <v>25</v>
      </c>
      <c r="G300" s="967">
        <v>0</v>
      </c>
      <c r="H300" s="964">
        <v>0</v>
      </c>
      <c r="I300" s="964">
        <v>0</v>
      </c>
      <c r="J300" s="968">
        <v>0</v>
      </c>
      <c r="K300" s="1420" t="s">
        <v>348</v>
      </c>
    </row>
    <row r="301" spans="1:11" ht="11.25" customHeight="1" x14ac:dyDescent="0.15">
      <c r="A301" s="1441"/>
      <c r="B301" s="969" t="s">
        <v>73</v>
      </c>
      <c r="C301" s="970">
        <f t="shared" si="64"/>
        <v>25</v>
      </c>
      <c r="D301" s="970">
        <v>0</v>
      </c>
      <c r="E301" s="970">
        <v>0</v>
      </c>
      <c r="F301" s="972">
        <v>25</v>
      </c>
      <c r="G301" s="973">
        <v>0</v>
      </c>
      <c r="H301" s="970">
        <v>0</v>
      </c>
      <c r="I301" s="970">
        <v>0</v>
      </c>
      <c r="J301" s="974">
        <v>0</v>
      </c>
      <c r="K301" s="1420"/>
    </row>
    <row r="302" spans="1:11" x14ac:dyDescent="0.15">
      <c r="A302" s="1440" t="s">
        <v>409</v>
      </c>
      <c r="B302" s="963" t="s">
        <v>72</v>
      </c>
      <c r="C302" s="1072">
        <f t="shared" si="64"/>
        <v>20</v>
      </c>
      <c r="D302" s="964">
        <v>0</v>
      </c>
      <c r="E302" s="964">
        <v>0</v>
      </c>
      <c r="F302" s="966">
        <v>20</v>
      </c>
      <c r="G302" s="967">
        <v>0</v>
      </c>
      <c r="H302" s="964">
        <v>0</v>
      </c>
      <c r="I302" s="964">
        <v>0</v>
      </c>
      <c r="J302" s="968">
        <v>0</v>
      </c>
      <c r="K302" s="1420" t="s">
        <v>348</v>
      </c>
    </row>
    <row r="303" spans="1:11" x14ac:dyDescent="0.15">
      <c r="A303" s="1441"/>
      <c r="B303" s="969" t="s">
        <v>73</v>
      </c>
      <c r="C303" s="970">
        <f t="shared" si="64"/>
        <v>20</v>
      </c>
      <c r="D303" s="970">
        <v>0</v>
      </c>
      <c r="E303" s="970">
        <v>0</v>
      </c>
      <c r="F303" s="972">
        <v>20</v>
      </c>
      <c r="G303" s="973">
        <v>0</v>
      </c>
      <c r="H303" s="970">
        <v>0</v>
      </c>
      <c r="I303" s="970">
        <v>0</v>
      </c>
      <c r="J303" s="974">
        <v>0</v>
      </c>
      <c r="K303" s="1420"/>
    </row>
    <row r="304" spans="1:11" ht="12" customHeight="1" x14ac:dyDescent="0.15">
      <c r="A304" s="1440" t="s">
        <v>410</v>
      </c>
      <c r="B304" s="963" t="s">
        <v>72</v>
      </c>
      <c r="C304" s="1072">
        <f t="shared" si="64"/>
        <v>5</v>
      </c>
      <c r="D304" s="964">
        <v>0</v>
      </c>
      <c r="E304" s="964">
        <v>0</v>
      </c>
      <c r="F304" s="966">
        <v>5</v>
      </c>
      <c r="G304" s="967">
        <v>0</v>
      </c>
      <c r="H304" s="964">
        <v>0</v>
      </c>
      <c r="I304" s="964">
        <v>0</v>
      </c>
      <c r="J304" s="968">
        <v>0</v>
      </c>
      <c r="K304" s="1420" t="s">
        <v>348</v>
      </c>
    </row>
    <row r="305" spans="1:11" ht="12.75" customHeight="1" x14ac:dyDescent="0.15">
      <c r="A305" s="1441"/>
      <c r="B305" s="969" t="s">
        <v>73</v>
      </c>
      <c r="C305" s="970">
        <f t="shared" si="64"/>
        <v>5</v>
      </c>
      <c r="D305" s="970">
        <v>0</v>
      </c>
      <c r="E305" s="970">
        <v>0</v>
      </c>
      <c r="F305" s="972">
        <v>5</v>
      </c>
      <c r="G305" s="973">
        <v>0</v>
      </c>
      <c r="H305" s="970">
        <v>0</v>
      </c>
      <c r="I305" s="970">
        <v>0</v>
      </c>
      <c r="J305" s="974">
        <v>0</v>
      </c>
      <c r="K305" s="1420"/>
    </row>
    <row r="306" spans="1:11" ht="12" customHeight="1" x14ac:dyDescent="0.15">
      <c r="A306" s="1440" t="s">
        <v>411</v>
      </c>
      <c r="B306" s="963" t="s">
        <v>72</v>
      </c>
      <c r="C306" s="1072">
        <f t="shared" si="64"/>
        <v>89</v>
      </c>
      <c r="D306" s="964">
        <v>0</v>
      </c>
      <c r="E306" s="964">
        <v>0</v>
      </c>
      <c r="F306" s="966">
        <v>89</v>
      </c>
      <c r="G306" s="967">
        <v>0</v>
      </c>
      <c r="H306" s="964">
        <v>0</v>
      </c>
      <c r="I306" s="964">
        <v>0</v>
      </c>
      <c r="J306" s="968">
        <v>0</v>
      </c>
      <c r="K306" s="1420" t="s">
        <v>348</v>
      </c>
    </row>
    <row r="307" spans="1:11" ht="11.25" customHeight="1" x14ac:dyDescent="0.15">
      <c r="A307" s="1441"/>
      <c r="B307" s="969" t="s">
        <v>73</v>
      </c>
      <c r="C307" s="970">
        <f t="shared" si="64"/>
        <v>89</v>
      </c>
      <c r="D307" s="970">
        <v>0</v>
      </c>
      <c r="E307" s="970">
        <v>0</v>
      </c>
      <c r="F307" s="972">
        <v>89</v>
      </c>
      <c r="G307" s="973">
        <v>0</v>
      </c>
      <c r="H307" s="970">
        <v>0</v>
      </c>
      <c r="I307" s="970">
        <v>0</v>
      </c>
      <c r="J307" s="974">
        <v>0</v>
      </c>
      <c r="K307" s="1420"/>
    </row>
    <row r="308" spans="1:11" ht="12" customHeight="1" x14ac:dyDescent="0.15">
      <c r="A308" s="1444" t="s">
        <v>412</v>
      </c>
      <c r="B308" s="963" t="s">
        <v>72</v>
      </c>
      <c r="C308" s="1072">
        <f t="shared" si="64"/>
        <v>25</v>
      </c>
      <c r="D308" s="964">
        <v>0</v>
      </c>
      <c r="E308" s="964">
        <v>0</v>
      </c>
      <c r="F308" s="966">
        <v>25</v>
      </c>
      <c r="G308" s="967">
        <v>0</v>
      </c>
      <c r="H308" s="964">
        <v>0</v>
      </c>
      <c r="I308" s="964">
        <v>0</v>
      </c>
      <c r="J308" s="968">
        <v>0</v>
      </c>
      <c r="K308" s="1420" t="s">
        <v>348</v>
      </c>
    </row>
    <row r="309" spans="1:11" ht="10.5" customHeight="1" x14ac:dyDescent="0.15">
      <c r="A309" s="1445"/>
      <c r="B309" s="969" t="s">
        <v>73</v>
      </c>
      <c r="C309" s="970">
        <f t="shared" si="64"/>
        <v>25</v>
      </c>
      <c r="D309" s="970">
        <v>0</v>
      </c>
      <c r="E309" s="970">
        <v>0</v>
      </c>
      <c r="F309" s="972">
        <v>25</v>
      </c>
      <c r="G309" s="973">
        <v>0</v>
      </c>
      <c r="H309" s="970">
        <v>0</v>
      </c>
      <c r="I309" s="970">
        <v>0</v>
      </c>
      <c r="J309" s="974">
        <v>0</v>
      </c>
      <c r="K309" s="1420"/>
    </row>
    <row r="310" spans="1:11" ht="12" customHeight="1" x14ac:dyDescent="0.15">
      <c r="A310" s="1440" t="s">
        <v>413</v>
      </c>
      <c r="B310" s="963" t="s">
        <v>72</v>
      </c>
      <c r="C310" s="1072">
        <f t="shared" si="64"/>
        <v>8</v>
      </c>
      <c r="D310" s="964">
        <v>0</v>
      </c>
      <c r="E310" s="964">
        <v>0</v>
      </c>
      <c r="F310" s="966">
        <v>8</v>
      </c>
      <c r="G310" s="967">
        <v>0</v>
      </c>
      <c r="H310" s="964">
        <v>0</v>
      </c>
      <c r="I310" s="964">
        <v>0</v>
      </c>
      <c r="J310" s="968">
        <v>0</v>
      </c>
      <c r="K310" s="1420" t="s">
        <v>348</v>
      </c>
    </row>
    <row r="311" spans="1:11" ht="11.25" customHeight="1" x14ac:dyDescent="0.15">
      <c r="A311" s="1441"/>
      <c r="B311" s="969" t="s">
        <v>73</v>
      </c>
      <c r="C311" s="970">
        <f t="shared" si="64"/>
        <v>8</v>
      </c>
      <c r="D311" s="970">
        <v>0</v>
      </c>
      <c r="E311" s="970">
        <v>0</v>
      </c>
      <c r="F311" s="972">
        <v>8</v>
      </c>
      <c r="G311" s="973">
        <v>0</v>
      </c>
      <c r="H311" s="970">
        <v>0</v>
      </c>
      <c r="I311" s="970">
        <v>0</v>
      </c>
      <c r="J311" s="974">
        <v>0</v>
      </c>
      <c r="K311" s="1420"/>
    </row>
    <row r="312" spans="1:11" ht="11.25" customHeight="1" x14ac:dyDescent="0.15">
      <c r="A312" s="1440" t="s">
        <v>414</v>
      </c>
      <c r="B312" s="963" t="s">
        <v>72</v>
      </c>
      <c r="C312" s="1072">
        <f t="shared" si="64"/>
        <v>5</v>
      </c>
      <c r="D312" s="964">
        <v>0</v>
      </c>
      <c r="E312" s="964">
        <v>0</v>
      </c>
      <c r="F312" s="966">
        <v>5</v>
      </c>
      <c r="G312" s="967">
        <v>0</v>
      </c>
      <c r="H312" s="964">
        <v>0</v>
      </c>
      <c r="I312" s="964">
        <v>0</v>
      </c>
      <c r="J312" s="968">
        <v>0</v>
      </c>
      <c r="K312" s="1420" t="s">
        <v>348</v>
      </c>
    </row>
    <row r="313" spans="1:11" ht="11.25" customHeight="1" x14ac:dyDescent="0.15">
      <c r="A313" s="1441"/>
      <c r="B313" s="969" t="s">
        <v>73</v>
      </c>
      <c r="C313" s="970">
        <f t="shared" si="64"/>
        <v>5</v>
      </c>
      <c r="D313" s="970">
        <v>0</v>
      </c>
      <c r="E313" s="970">
        <v>0</v>
      </c>
      <c r="F313" s="972">
        <v>5</v>
      </c>
      <c r="G313" s="973">
        <v>0</v>
      </c>
      <c r="H313" s="970">
        <v>0</v>
      </c>
      <c r="I313" s="970">
        <v>0</v>
      </c>
      <c r="J313" s="974">
        <v>0</v>
      </c>
      <c r="K313" s="1420"/>
    </row>
    <row r="314" spans="1:11" ht="11.25" customHeight="1" x14ac:dyDescent="0.15">
      <c r="A314" s="1440" t="s">
        <v>415</v>
      </c>
      <c r="B314" s="963" t="s">
        <v>72</v>
      </c>
      <c r="C314" s="1072">
        <f t="shared" si="64"/>
        <v>9</v>
      </c>
      <c r="D314" s="964">
        <v>0</v>
      </c>
      <c r="E314" s="964">
        <v>0</v>
      </c>
      <c r="F314" s="966">
        <v>9</v>
      </c>
      <c r="G314" s="967">
        <v>0</v>
      </c>
      <c r="H314" s="964">
        <v>0</v>
      </c>
      <c r="I314" s="964">
        <v>0</v>
      </c>
      <c r="J314" s="968">
        <v>0</v>
      </c>
      <c r="K314" s="1420" t="s">
        <v>348</v>
      </c>
    </row>
    <row r="315" spans="1:11" ht="12" customHeight="1" x14ac:dyDescent="0.15">
      <c r="A315" s="1441"/>
      <c r="B315" s="969" t="s">
        <v>73</v>
      </c>
      <c r="C315" s="970">
        <f t="shared" si="64"/>
        <v>9</v>
      </c>
      <c r="D315" s="970">
        <v>0</v>
      </c>
      <c r="E315" s="970">
        <v>0</v>
      </c>
      <c r="F315" s="972">
        <v>9</v>
      </c>
      <c r="G315" s="973">
        <v>0</v>
      </c>
      <c r="H315" s="970">
        <v>0</v>
      </c>
      <c r="I315" s="970">
        <v>0</v>
      </c>
      <c r="J315" s="974">
        <v>0</v>
      </c>
      <c r="K315" s="1420"/>
    </row>
    <row r="316" spans="1:11" ht="12" customHeight="1" x14ac:dyDescent="0.15">
      <c r="A316" s="1440" t="s">
        <v>416</v>
      </c>
      <c r="B316" s="963" t="s">
        <v>72</v>
      </c>
      <c r="C316" s="1072">
        <f t="shared" si="64"/>
        <v>23</v>
      </c>
      <c r="D316" s="964">
        <v>0</v>
      </c>
      <c r="E316" s="964">
        <v>0</v>
      </c>
      <c r="F316" s="966">
        <v>23</v>
      </c>
      <c r="G316" s="967">
        <v>0</v>
      </c>
      <c r="H316" s="964">
        <v>0</v>
      </c>
      <c r="I316" s="964">
        <v>0</v>
      </c>
      <c r="J316" s="968">
        <v>0</v>
      </c>
      <c r="K316" s="1420" t="s">
        <v>348</v>
      </c>
    </row>
    <row r="317" spans="1:11" ht="12" customHeight="1" x14ac:dyDescent="0.15">
      <c r="A317" s="1441"/>
      <c r="B317" s="969" t="s">
        <v>73</v>
      </c>
      <c r="C317" s="970">
        <f t="shared" si="64"/>
        <v>23</v>
      </c>
      <c r="D317" s="970">
        <v>0</v>
      </c>
      <c r="E317" s="970">
        <v>0</v>
      </c>
      <c r="F317" s="972">
        <v>23</v>
      </c>
      <c r="G317" s="973">
        <v>0</v>
      </c>
      <c r="H317" s="970">
        <v>0</v>
      </c>
      <c r="I317" s="970">
        <v>0</v>
      </c>
      <c r="J317" s="974">
        <v>0</v>
      </c>
      <c r="K317" s="1420"/>
    </row>
    <row r="318" spans="1:11" ht="12" customHeight="1" x14ac:dyDescent="0.15">
      <c r="A318" s="1440" t="s">
        <v>417</v>
      </c>
      <c r="B318" s="963" t="s">
        <v>72</v>
      </c>
      <c r="C318" s="1072">
        <f t="shared" si="64"/>
        <v>89</v>
      </c>
      <c r="D318" s="964">
        <v>0</v>
      </c>
      <c r="E318" s="964">
        <v>0</v>
      </c>
      <c r="F318" s="966">
        <v>89</v>
      </c>
      <c r="G318" s="967">
        <v>0</v>
      </c>
      <c r="H318" s="964">
        <v>0</v>
      </c>
      <c r="I318" s="964">
        <v>0</v>
      </c>
      <c r="J318" s="968">
        <v>0</v>
      </c>
      <c r="K318" s="1420" t="s">
        <v>348</v>
      </c>
    </row>
    <row r="319" spans="1:11" ht="12" customHeight="1" x14ac:dyDescent="0.15">
      <c r="A319" s="1441"/>
      <c r="B319" s="969" t="s">
        <v>73</v>
      </c>
      <c r="C319" s="970">
        <f t="shared" si="64"/>
        <v>89</v>
      </c>
      <c r="D319" s="970">
        <v>0</v>
      </c>
      <c r="E319" s="970">
        <v>0</v>
      </c>
      <c r="F319" s="972">
        <v>89</v>
      </c>
      <c r="G319" s="973">
        <v>0</v>
      </c>
      <c r="H319" s="970">
        <v>0</v>
      </c>
      <c r="I319" s="970">
        <v>0</v>
      </c>
      <c r="J319" s="974">
        <v>0</v>
      </c>
      <c r="K319" s="1420"/>
    </row>
    <row r="320" spans="1:11" x14ac:dyDescent="0.15">
      <c r="A320" s="1440" t="s">
        <v>418</v>
      </c>
      <c r="B320" s="963" t="s">
        <v>72</v>
      </c>
      <c r="C320" s="1072">
        <f t="shared" ref="C320:C422" si="65">D320+E320+F320+G320+H320+I320+J320</f>
        <v>45</v>
      </c>
      <c r="D320" s="964">
        <v>0</v>
      </c>
      <c r="E320" s="964">
        <v>0</v>
      </c>
      <c r="F320" s="966">
        <v>45</v>
      </c>
      <c r="G320" s="967">
        <v>0</v>
      </c>
      <c r="H320" s="964">
        <v>0</v>
      </c>
      <c r="I320" s="964">
        <v>0</v>
      </c>
      <c r="J320" s="968">
        <v>0</v>
      </c>
      <c r="K320" s="1420" t="s">
        <v>348</v>
      </c>
    </row>
    <row r="321" spans="1:11" x14ac:dyDescent="0.15">
      <c r="A321" s="1441"/>
      <c r="B321" s="969" t="s">
        <v>73</v>
      </c>
      <c r="C321" s="970">
        <f t="shared" si="65"/>
        <v>45</v>
      </c>
      <c r="D321" s="970">
        <v>0</v>
      </c>
      <c r="E321" s="970">
        <v>0</v>
      </c>
      <c r="F321" s="972">
        <v>45</v>
      </c>
      <c r="G321" s="973">
        <v>0</v>
      </c>
      <c r="H321" s="970">
        <v>0</v>
      </c>
      <c r="I321" s="970">
        <v>0</v>
      </c>
      <c r="J321" s="974">
        <v>0</v>
      </c>
      <c r="K321" s="1420"/>
    </row>
    <row r="322" spans="1:11" x14ac:dyDescent="0.15">
      <c r="A322" s="1440" t="s">
        <v>419</v>
      </c>
      <c r="B322" s="963" t="s">
        <v>72</v>
      </c>
      <c r="C322" s="1072">
        <f t="shared" si="65"/>
        <v>46</v>
      </c>
      <c r="D322" s="964">
        <v>0</v>
      </c>
      <c r="E322" s="964">
        <v>0</v>
      </c>
      <c r="F322" s="966">
        <v>46</v>
      </c>
      <c r="G322" s="967">
        <v>0</v>
      </c>
      <c r="H322" s="964">
        <v>0</v>
      </c>
      <c r="I322" s="964">
        <v>0</v>
      </c>
      <c r="J322" s="968">
        <v>0</v>
      </c>
      <c r="K322" s="1420" t="s">
        <v>348</v>
      </c>
    </row>
    <row r="323" spans="1:11" x14ac:dyDescent="0.15">
      <c r="A323" s="1441"/>
      <c r="B323" s="969" t="s">
        <v>73</v>
      </c>
      <c r="C323" s="970">
        <f t="shared" si="65"/>
        <v>46</v>
      </c>
      <c r="D323" s="970">
        <v>0</v>
      </c>
      <c r="E323" s="970">
        <v>0</v>
      </c>
      <c r="F323" s="972">
        <v>46</v>
      </c>
      <c r="G323" s="973">
        <v>0</v>
      </c>
      <c r="H323" s="970">
        <v>0</v>
      </c>
      <c r="I323" s="970">
        <v>0</v>
      </c>
      <c r="J323" s="974">
        <v>0</v>
      </c>
      <c r="K323" s="1420"/>
    </row>
    <row r="324" spans="1:11" x14ac:dyDescent="0.15">
      <c r="A324" s="1440" t="s">
        <v>420</v>
      </c>
      <c r="B324" s="963" t="s">
        <v>72</v>
      </c>
      <c r="C324" s="1072">
        <f t="shared" si="65"/>
        <v>34</v>
      </c>
      <c r="D324" s="964">
        <v>0</v>
      </c>
      <c r="E324" s="964">
        <v>0</v>
      </c>
      <c r="F324" s="966">
        <v>34</v>
      </c>
      <c r="G324" s="967">
        <v>0</v>
      </c>
      <c r="H324" s="964">
        <v>0</v>
      </c>
      <c r="I324" s="964">
        <v>0</v>
      </c>
      <c r="J324" s="968">
        <v>0</v>
      </c>
      <c r="K324" s="1420" t="s">
        <v>348</v>
      </c>
    </row>
    <row r="325" spans="1:11" ht="12" customHeight="1" x14ac:dyDescent="0.15">
      <c r="A325" s="1441"/>
      <c r="B325" s="969" t="s">
        <v>73</v>
      </c>
      <c r="C325" s="970">
        <f t="shared" si="65"/>
        <v>34</v>
      </c>
      <c r="D325" s="970">
        <v>0</v>
      </c>
      <c r="E325" s="970">
        <v>0</v>
      </c>
      <c r="F325" s="972">
        <v>34</v>
      </c>
      <c r="G325" s="973">
        <v>0</v>
      </c>
      <c r="H325" s="970">
        <v>0</v>
      </c>
      <c r="I325" s="970">
        <v>0</v>
      </c>
      <c r="J325" s="974">
        <v>0</v>
      </c>
      <c r="K325" s="1420"/>
    </row>
    <row r="326" spans="1:11" ht="12" customHeight="1" x14ac:dyDescent="0.15">
      <c r="A326" s="1440" t="s">
        <v>421</v>
      </c>
      <c r="B326" s="963" t="s">
        <v>72</v>
      </c>
      <c r="C326" s="1072">
        <f t="shared" si="65"/>
        <v>75</v>
      </c>
      <c r="D326" s="964">
        <v>0</v>
      </c>
      <c r="E326" s="964">
        <v>0</v>
      </c>
      <c r="F326" s="966">
        <v>75</v>
      </c>
      <c r="G326" s="967">
        <v>0</v>
      </c>
      <c r="H326" s="964">
        <v>0</v>
      </c>
      <c r="I326" s="964">
        <v>0</v>
      </c>
      <c r="J326" s="968">
        <v>0</v>
      </c>
      <c r="K326" s="1420" t="s">
        <v>348</v>
      </c>
    </row>
    <row r="327" spans="1:11" ht="12" customHeight="1" x14ac:dyDescent="0.15">
      <c r="A327" s="1441"/>
      <c r="B327" s="969" t="s">
        <v>73</v>
      </c>
      <c r="C327" s="970">
        <f t="shared" si="65"/>
        <v>75</v>
      </c>
      <c r="D327" s="970">
        <v>0</v>
      </c>
      <c r="E327" s="970">
        <v>0</v>
      </c>
      <c r="F327" s="972">
        <v>75</v>
      </c>
      <c r="G327" s="973">
        <v>0</v>
      </c>
      <c r="H327" s="970">
        <v>0</v>
      </c>
      <c r="I327" s="970">
        <v>0</v>
      </c>
      <c r="J327" s="974">
        <v>0</v>
      </c>
      <c r="K327" s="1420"/>
    </row>
    <row r="328" spans="1:11" x14ac:dyDescent="0.15">
      <c r="A328" s="1440" t="s">
        <v>422</v>
      </c>
      <c r="B328" s="963" t="s">
        <v>72</v>
      </c>
      <c r="C328" s="1072">
        <f t="shared" si="65"/>
        <v>40</v>
      </c>
      <c r="D328" s="964">
        <v>0</v>
      </c>
      <c r="E328" s="964">
        <v>0</v>
      </c>
      <c r="F328" s="966">
        <v>40</v>
      </c>
      <c r="G328" s="967">
        <v>0</v>
      </c>
      <c r="H328" s="964">
        <v>0</v>
      </c>
      <c r="I328" s="964">
        <v>0</v>
      </c>
      <c r="J328" s="968">
        <v>0</v>
      </c>
      <c r="K328" s="1420" t="s">
        <v>348</v>
      </c>
    </row>
    <row r="329" spans="1:11" x14ac:dyDescent="0.15">
      <c r="A329" s="1441"/>
      <c r="B329" s="969" t="s">
        <v>73</v>
      </c>
      <c r="C329" s="970">
        <f t="shared" si="65"/>
        <v>40</v>
      </c>
      <c r="D329" s="970">
        <v>0</v>
      </c>
      <c r="E329" s="970">
        <v>0</v>
      </c>
      <c r="F329" s="972">
        <v>40</v>
      </c>
      <c r="G329" s="973">
        <v>0</v>
      </c>
      <c r="H329" s="970">
        <v>0</v>
      </c>
      <c r="I329" s="970">
        <v>0</v>
      </c>
      <c r="J329" s="974">
        <v>0</v>
      </c>
      <c r="K329" s="1420"/>
    </row>
    <row r="330" spans="1:11" x14ac:dyDescent="0.15">
      <c r="A330" s="1440" t="s">
        <v>423</v>
      </c>
      <c r="B330" s="963" t="s">
        <v>72</v>
      </c>
      <c r="C330" s="1072">
        <f t="shared" si="65"/>
        <v>5</v>
      </c>
      <c r="D330" s="964">
        <v>0</v>
      </c>
      <c r="E330" s="964">
        <v>0</v>
      </c>
      <c r="F330" s="966">
        <v>5</v>
      </c>
      <c r="G330" s="967">
        <v>0</v>
      </c>
      <c r="H330" s="964">
        <v>0</v>
      </c>
      <c r="I330" s="964">
        <v>0</v>
      </c>
      <c r="J330" s="968">
        <v>0</v>
      </c>
      <c r="K330" s="1420" t="s">
        <v>348</v>
      </c>
    </row>
    <row r="331" spans="1:11" x14ac:dyDescent="0.15">
      <c r="A331" s="1441"/>
      <c r="B331" s="969" t="s">
        <v>73</v>
      </c>
      <c r="C331" s="970">
        <f t="shared" si="65"/>
        <v>5</v>
      </c>
      <c r="D331" s="970">
        <v>0</v>
      </c>
      <c r="E331" s="970">
        <v>0</v>
      </c>
      <c r="F331" s="972">
        <v>5</v>
      </c>
      <c r="G331" s="973">
        <v>0</v>
      </c>
      <c r="H331" s="970">
        <v>0</v>
      </c>
      <c r="I331" s="970">
        <v>0</v>
      </c>
      <c r="J331" s="974">
        <v>0</v>
      </c>
      <c r="K331" s="1420"/>
    </row>
    <row r="332" spans="1:11" x14ac:dyDescent="0.15">
      <c r="A332" s="1440" t="s">
        <v>424</v>
      </c>
      <c r="B332" s="963" t="s">
        <v>72</v>
      </c>
      <c r="C332" s="1072">
        <f t="shared" si="65"/>
        <v>80</v>
      </c>
      <c r="D332" s="964">
        <v>0</v>
      </c>
      <c r="E332" s="964">
        <v>0</v>
      </c>
      <c r="F332" s="966">
        <v>80</v>
      </c>
      <c r="G332" s="967">
        <v>0</v>
      </c>
      <c r="H332" s="964">
        <v>0</v>
      </c>
      <c r="I332" s="964">
        <v>0</v>
      </c>
      <c r="J332" s="968">
        <v>0</v>
      </c>
      <c r="K332" s="1420" t="s">
        <v>348</v>
      </c>
    </row>
    <row r="333" spans="1:11" x14ac:dyDescent="0.15">
      <c r="A333" s="1441"/>
      <c r="B333" s="969" t="s">
        <v>73</v>
      </c>
      <c r="C333" s="970">
        <f t="shared" si="65"/>
        <v>80</v>
      </c>
      <c r="D333" s="970">
        <v>0</v>
      </c>
      <c r="E333" s="970">
        <v>0</v>
      </c>
      <c r="F333" s="972">
        <v>80</v>
      </c>
      <c r="G333" s="973">
        <v>0</v>
      </c>
      <c r="H333" s="970">
        <v>0</v>
      </c>
      <c r="I333" s="970">
        <v>0</v>
      </c>
      <c r="J333" s="974">
        <v>0</v>
      </c>
      <c r="K333" s="1420"/>
    </row>
    <row r="334" spans="1:11" x14ac:dyDescent="0.15">
      <c r="A334" s="1440" t="s">
        <v>425</v>
      </c>
      <c r="B334" s="963" t="s">
        <v>72</v>
      </c>
      <c r="C334" s="1072">
        <f t="shared" si="65"/>
        <v>89</v>
      </c>
      <c r="D334" s="964">
        <v>0</v>
      </c>
      <c r="E334" s="964">
        <v>0</v>
      </c>
      <c r="F334" s="966">
        <v>89</v>
      </c>
      <c r="G334" s="967">
        <v>0</v>
      </c>
      <c r="H334" s="964">
        <v>0</v>
      </c>
      <c r="I334" s="964">
        <v>0</v>
      </c>
      <c r="J334" s="968">
        <v>0</v>
      </c>
      <c r="K334" s="1420" t="s">
        <v>348</v>
      </c>
    </row>
    <row r="335" spans="1:11" x14ac:dyDescent="0.15">
      <c r="A335" s="1441"/>
      <c r="B335" s="969" t="s">
        <v>73</v>
      </c>
      <c r="C335" s="970">
        <f t="shared" si="65"/>
        <v>89</v>
      </c>
      <c r="D335" s="970">
        <v>0</v>
      </c>
      <c r="E335" s="970">
        <v>0</v>
      </c>
      <c r="F335" s="972">
        <v>89</v>
      </c>
      <c r="G335" s="973">
        <v>0</v>
      </c>
      <c r="H335" s="970">
        <v>0</v>
      </c>
      <c r="I335" s="970">
        <v>0</v>
      </c>
      <c r="J335" s="974">
        <v>0</v>
      </c>
      <c r="K335" s="1420"/>
    </row>
    <row r="336" spans="1:11" x14ac:dyDescent="0.15">
      <c r="A336" s="1440" t="s">
        <v>426</v>
      </c>
      <c r="B336" s="963" t="s">
        <v>72</v>
      </c>
      <c r="C336" s="1072">
        <f t="shared" si="65"/>
        <v>25</v>
      </c>
      <c r="D336" s="964">
        <v>0</v>
      </c>
      <c r="E336" s="964">
        <v>0</v>
      </c>
      <c r="F336" s="966">
        <v>25</v>
      </c>
      <c r="G336" s="967">
        <v>0</v>
      </c>
      <c r="H336" s="964">
        <v>0</v>
      </c>
      <c r="I336" s="964">
        <v>0</v>
      </c>
      <c r="J336" s="968">
        <v>0</v>
      </c>
      <c r="K336" s="1420" t="s">
        <v>348</v>
      </c>
    </row>
    <row r="337" spans="1:11" x14ac:dyDescent="0.15">
      <c r="A337" s="1441"/>
      <c r="B337" s="969" t="s">
        <v>73</v>
      </c>
      <c r="C337" s="970">
        <f t="shared" si="65"/>
        <v>25</v>
      </c>
      <c r="D337" s="970">
        <v>0</v>
      </c>
      <c r="E337" s="970">
        <v>0</v>
      </c>
      <c r="F337" s="972">
        <v>25</v>
      </c>
      <c r="G337" s="973">
        <v>0</v>
      </c>
      <c r="H337" s="970">
        <v>0</v>
      </c>
      <c r="I337" s="970">
        <v>0</v>
      </c>
      <c r="J337" s="974">
        <v>0</v>
      </c>
      <c r="K337" s="1420"/>
    </row>
    <row r="338" spans="1:11" ht="11.25" customHeight="1" x14ac:dyDescent="0.15">
      <c r="A338" s="1440" t="s">
        <v>427</v>
      </c>
      <c r="B338" s="963" t="s">
        <v>72</v>
      </c>
      <c r="C338" s="1072">
        <f t="shared" si="65"/>
        <v>5</v>
      </c>
      <c r="D338" s="964">
        <v>0</v>
      </c>
      <c r="E338" s="964">
        <v>0</v>
      </c>
      <c r="F338" s="966">
        <v>5</v>
      </c>
      <c r="G338" s="967">
        <v>0</v>
      </c>
      <c r="H338" s="964">
        <v>0</v>
      </c>
      <c r="I338" s="964">
        <v>0</v>
      </c>
      <c r="J338" s="968">
        <v>0</v>
      </c>
      <c r="K338" s="1420" t="s">
        <v>348</v>
      </c>
    </row>
    <row r="339" spans="1:11" ht="12" customHeight="1" x14ac:dyDescent="0.15">
      <c r="A339" s="1441"/>
      <c r="B339" s="969" t="s">
        <v>73</v>
      </c>
      <c r="C339" s="970">
        <f t="shared" si="65"/>
        <v>5</v>
      </c>
      <c r="D339" s="970">
        <v>0</v>
      </c>
      <c r="E339" s="970">
        <v>0</v>
      </c>
      <c r="F339" s="972">
        <v>5</v>
      </c>
      <c r="G339" s="973">
        <v>0</v>
      </c>
      <c r="H339" s="970">
        <v>0</v>
      </c>
      <c r="I339" s="970">
        <v>0</v>
      </c>
      <c r="J339" s="974">
        <v>0</v>
      </c>
      <c r="K339" s="1420"/>
    </row>
    <row r="340" spans="1:11" x14ac:dyDescent="0.15">
      <c r="A340" s="1440" t="s">
        <v>428</v>
      </c>
      <c r="B340" s="963" t="s">
        <v>72</v>
      </c>
      <c r="C340" s="1072">
        <f t="shared" si="65"/>
        <v>8</v>
      </c>
      <c r="D340" s="964">
        <v>0</v>
      </c>
      <c r="E340" s="964">
        <v>0</v>
      </c>
      <c r="F340" s="966">
        <v>8</v>
      </c>
      <c r="G340" s="967">
        <v>0</v>
      </c>
      <c r="H340" s="964">
        <v>0</v>
      </c>
      <c r="I340" s="964">
        <v>0</v>
      </c>
      <c r="J340" s="968">
        <v>0</v>
      </c>
      <c r="K340" s="1420" t="s">
        <v>348</v>
      </c>
    </row>
    <row r="341" spans="1:11" x14ac:dyDescent="0.15">
      <c r="A341" s="1441"/>
      <c r="B341" s="969" t="s">
        <v>73</v>
      </c>
      <c r="C341" s="970">
        <f t="shared" si="65"/>
        <v>8</v>
      </c>
      <c r="D341" s="970">
        <v>0</v>
      </c>
      <c r="E341" s="970">
        <v>0</v>
      </c>
      <c r="F341" s="972">
        <v>8</v>
      </c>
      <c r="G341" s="973">
        <v>0</v>
      </c>
      <c r="H341" s="970">
        <v>0</v>
      </c>
      <c r="I341" s="970">
        <v>0</v>
      </c>
      <c r="J341" s="974">
        <v>0</v>
      </c>
      <c r="K341" s="1420"/>
    </row>
    <row r="342" spans="1:11" x14ac:dyDescent="0.15">
      <c r="A342" s="1440" t="s">
        <v>429</v>
      </c>
      <c r="B342" s="963" t="s">
        <v>72</v>
      </c>
      <c r="C342" s="1072">
        <f t="shared" si="65"/>
        <v>17</v>
      </c>
      <c r="D342" s="964">
        <v>0</v>
      </c>
      <c r="E342" s="964">
        <v>0</v>
      </c>
      <c r="F342" s="966">
        <v>17</v>
      </c>
      <c r="G342" s="967">
        <v>0</v>
      </c>
      <c r="H342" s="964">
        <v>0</v>
      </c>
      <c r="I342" s="964">
        <v>0</v>
      </c>
      <c r="J342" s="968">
        <v>0</v>
      </c>
      <c r="K342" s="1420" t="s">
        <v>348</v>
      </c>
    </row>
    <row r="343" spans="1:11" x14ac:dyDescent="0.15">
      <c r="A343" s="1441"/>
      <c r="B343" s="969" t="s">
        <v>73</v>
      </c>
      <c r="C343" s="970">
        <f t="shared" si="65"/>
        <v>17</v>
      </c>
      <c r="D343" s="970">
        <v>0</v>
      </c>
      <c r="E343" s="970">
        <v>0</v>
      </c>
      <c r="F343" s="972">
        <v>17</v>
      </c>
      <c r="G343" s="973">
        <v>0</v>
      </c>
      <c r="H343" s="970">
        <v>0</v>
      </c>
      <c r="I343" s="970">
        <v>0</v>
      </c>
      <c r="J343" s="974">
        <v>0</v>
      </c>
      <c r="K343" s="1420"/>
    </row>
    <row r="344" spans="1:11" x14ac:dyDescent="0.15">
      <c r="A344" s="1440" t="s">
        <v>430</v>
      </c>
      <c r="B344" s="963" t="s">
        <v>72</v>
      </c>
      <c r="C344" s="1072">
        <f t="shared" si="65"/>
        <v>28</v>
      </c>
      <c r="D344" s="964">
        <v>0</v>
      </c>
      <c r="E344" s="964">
        <v>0</v>
      </c>
      <c r="F344" s="966">
        <f>30-2</f>
        <v>28</v>
      </c>
      <c r="G344" s="967">
        <v>0</v>
      </c>
      <c r="H344" s="964">
        <v>0</v>
      </c>
      <c r="I344" s="964">
        <v>0</v>
      </c>
      <c r="J344" s="968">
        <v>0</v>
      </c>
      <c r="K344" s="1420" t="s">
        <v>348</v>
      </c>
    </row>
    <row r="345" spans="1:11" x14ac:dyDescent="0.15">
      <c r="A345" s="1441"/>
      <c r="B345" s="969" t="s">
        <v>73</v>
      </c>
      <c r="C345" s="970">
        <f t="shared" si="65"/>
        <v>28</v>
      </c>
      <c r="D345" s="970">
        <v>0</v>
      </c>
      <c r="E345" s="970">
        <v>0</v>
      </c>
      <c r="F345" s="972">
        <f>30-2</f>
        <v>28</v>
      </c>
      <c r="G345" s="973">
        <v>0</v>
      </c>
      <c r="H345" s="970">
        <v>0</v>
      </c>
      <c r="I345" s="970">
        <v>0</v>
      </c>
      <c r="J345" s="974">
        <v>0</v>
      </c>
      <c r="K345" s="1420"/>
    </row>
    <row r="346" spans="1:11" x14ac:dyDescent="0.15">
      <c r="A346" s="1440" t="s">
        <v>431</v>
      </c>
      <c r="B346" s="963" t="s">
        <v>72</v>
      </c>
      <c r="C346" s="1072">
        <f t="shared" si="65"/>
        <v>89</v>
      </c>
      <c r="D346" s="964">
        <v>0</v>
      </c>
      <c r="E346" s="964">
        <v>0</v>
      </c>
      <c r="F346" s="966">
        <v>89</v>
      </c>
      <c r="G346" s="967">
        <v>0</v>
      </c>
      <c r="H346" s="964">
        <v>0</v>
      </c>
      <c r="I346" s="964">
        <v>0</v>
      </c>
      <c r="J346" s="968">
        <v>0</v>
      </c>
      <c r="K346" s="1420" t="s">
        <v>348</v>
      </c>
    </row>
    <row r="347" spans="1:11" x14ac:dyDescent="0.15">
      <c r="A347" s="1441"/>
      <c r="B347" s="969" t="s">
        <v>73</v>
      </c>
      <c r="C347" s="970">
        <f t="shared" si="65"/>
        <v>89</v>
      </c>
      <c r="D347" s="970">
        <v>0</v>
      </c>
      <c r="E347" s="970">
        <v>0</v>
      </c>
      <c r="F347" s="972">
        <v>89</v>
      </c>
      <c r="G347" s="973">
        <v>0</v>
      </c>
      <c r="H347" s="970">
        <v>0</v>
      </c>
      <c r="I347" s="970">
        <v>0</v>
      </c>
      <c r="J347" s="974">
        <v>0</v>
      </c>
      <c r="K347" s="1420"/>
    </row>
    <row r="348" spans="1:11" ht="12" customHeight="1" x14ac:dyDescent="0.15">
      <c r="A348" s="1440" t="s">
        <v>432</v>
      </c>
      <c r="B348" s="963" t="s">
        <v>72</v>
      </c>
      <c r="C348" s="1072">
        <f t="shared" si="65"/>
        <v>30</v>
      </c>
      <c r="D348" s="964">
        <v>0</v>
      </c>
      <c r="E348" s="964">
        <v>0</v>
      </c>
      <c r="F348" s="966">
        <v>30</v>
      </c>
      <c r="G348" s="967">
        <v>0</v>
      </c>
      <c r="H348" s="964">
        <v>0</v>
      </c>
      <c r="I348" s="964">
        <v>0</v>
      </c>
      <c r="J348" s="968">
        <v>0</v>
      </c>
      <c r="K348" s="1420" t="s">
        <v>348</v>
      </c>
    </row>
    <row r="349" spans="1:11" x14ac:dyDescent="0.15">
      <c r="A349" s="1441"/>
      <c r="B349" s="969" t="s">
        <v>73</v>
      </c>
      <c r="C349" s="970">
        <f t="shared" si="65"/>
        <v>30</v>
      </c>
      <c r="D349" s="970">
        <v>0</v>
      </c>
      <c r="E349" s="970">
        <v>0</v>
      </c>
      <c r="F349" s="972">
        <v>30</v>
      </c>
      <c r="G349" s="973">
        <v>0</v>
      </c>
      <c r="H349" s="970">
        <v>0</v>
      </c>
      <c r="I349" s="970">
        <v>0</v>
      </c>
      <c r="J349" s="974">
        <v>0</v>
      </c>
      <c r="K349" s="1420"/>
    </row>
    <row r="350" spans="1:11" x14ac:dyDescent="0.15">
      <c r="A350" s="1440" t="s">
        <v>433</v>
      </c>
      <c r="B350" s="963" t="s">
        <v>72</v>
      </c>
      <c r="C350" s="1072">
        <f t="shared" si="65"/>
        <v>89</v>
      </c>
      <c r="D350" s="964">
        <v>0</v>
      </c>
      <c r="E350" s="964">
        <v>0</v>
      </c>
      <c r="F350" s="966">
        <v>89</v>
      </c>
      <c r="G350" s="967">
        <v>0</v>
      </c>
      <c r="H350" s="964">
        <v>0</v>
      </c>
      <c r="I350" s="964">
        <v>0</v>
      </c>
      <c r="J350" s="968">
        <v>0</v>
      </c>
      <c r="K350" s="1420" t="s">
        <v>348</v>
      </c>
    </row>
    <row r="351" spans="1:11" x14ac:dyDescent="0.15">
      <c r="A351" s="1441"/>
      <c r="B351" s="969" t="s">
        <v>73</v>
      </c>
      <c r="C351" s="970">
        <f t="shared" si="65"/>
        <v>89</v>
      </c>
      <c r="D351" s="970">
        <v>0</v>
      </c>
      <c r="E351" s="970">
        <v>0</v>
      </c>
      <c r="F351" s="972">
        <v>89</v>
      </c>
      <c r="G351" s="973">
        <v>0</v>
      </c>
      <c r="H351" s="970">
        <v>0</v>
      </c>
      <c r="I351" s="970">
        <v>0</v>
      </c>
      <c r="J351" s="974">
        <v>0</v>
      </c>
      <c r="K351" s="1420"/>
    </row>
    <row r="352" spans="1:11" x14ac:dyDescent="0.15">
      <c r="A352" s="1440" t="s">
        <v>434</v>
      </c>
      <c r="B352" s="963" t="s">
        <v>72</v>
      </c>
      <c r="C352" s="1072">
        <f t="shared" si="65"/>
        <v>30</v>
      </c>
      <c r="D352" s="964">
        <v>0</v>
      </c>
      <c r="E352" s="964">
        <v>0</v>
      </c>
      <c r="F352" s="966">
        <v>30</v>
      </c>
      <c r="G352" s="967">
        <v>0</v>
      </c>
      <c r="H352" s="964">
        <v>0</v>
      </c>
      <c r="I352" s="964">
        <v>0</v>
      </c>
      <c r="J352" s="968">
        <v>0</v>
      </c>
      <c r="K352" s="1420" t="s">
        <v>348</v>
      </c>
    </row>
    <row r="353" spans="1:11" ht="12" customHeight="1" x14ac:dyDescent="0.15">
      <c r="A353" s="1441"/>
      <c r="B353" s="969" t="s">
        <v>73</v>
      </c>
      <c r="C353" s="970">
        <f t="shared" si="65"/>
        <v>30</v>
      </c>
      <c r="D353" s="970">
        <v>0</v>
      </c>
      <c r="E353" s="970">
        <v>0</v>
      </c>
      <c r="F353" s="972">
        <v>30</v>
      </c>
      <c r="G353" s="973">
        <v>0</v>
      </c>
      <c r="H353" s="970">
        <v>0</v>
      </c>
      <c r="I353" s="970">
        <v>0</v>
      </c>
      <c r="J353" s="974">
        <v>0</v>
      </c>
      <c r="K353" s="1420"/>
    </row>
    <row r="354" spans="1:11" ht="12" customHeight="1" x14ac:dyDescent="0.15">
      <c r="A354" s="1440" t="s">
        <v>435</v>
      </c>
      <c r="B354" s="963" t="s">
        <v>72</v>
      </c>
      <c r="C354" s="1072">
        <f t="shared" si="65"/>
        <v>30</v>
      </c>
      <c r="D354" s="964">
        <v>0</v>
      </c>
      <c r="E354" s="964">
        <v>0</v>
      </c>
      <c r="F354" s="966">
        <v>30</v>
      </c>
      <c r="G354" s="967">
        <v>0</v>
      </c>
      <c r="H354" s="964">
        <v>0</v>
      </c>
      <c r="I354" s="964">
        <v>0</v>
      </c>
      <c r="J354" s="968">
        <v>0</v>
      </c>
      <c r="K354" s="1420" t="s">
        <v>348</v>
      </c>
    </row>
    <row r="355" spans="1:11" ht="12" customHeight="1" x14ac:dyDescent="0.15">
      <c r="A355" s="1441"/>
      <c r="B355" s="969" t="s">
        <v>73</v>
      </c>
      <c r="C355" s="970">
        <f t="shared" si="65"/>
        <v>30</v>
      </c>
      <c r="D355" s="970">
        <v>0</v>
      </c>
      <c r="E355" s="970">
        <v>0</v>
      </c>
      <c r="F355" s="972">
        <v>30</v>
      </c>
      <c r="G355" s="973">
        <v>0</v>
      </c>
      <c r="H355" s="970">
        <v>0</v>
      </c>
      <c r="I355" s="970">
        <v>0</v>
      </c>
      <c r="J355" s="974">
        <v>0</v>
      </c>
      <c r="K355" s="1420"/>
    </row>
    <row r="356" spans="1:11" ht="12" customHeight="1" x14ac:dyDescent="0.15">
      <c r="A356" s="1440" t="s">
        <v>436</v>
      </c>
      <c r="B356" s="963" t="s">
        <v>72</v>
      </c>
      <c r="C356" s="1072">
        <f t="shared" si="65"/>
        <v>20</v>
      </c>
      <c r="D356" s="964">
        <v>0</v>
      </c>
      <c r="E356" s="964">
        <v>0</v>
      </c>
      <c r="F356" s="966">
        <v>20</v>
      </c>
      <c r="G356" s="967">
        <v>0</v>
      </c>
      <c r="H356" s="964">
        <v>0</v>
      </c>
      <c r="I356" s="964">
        <v>0</v>
      </c>
      <c r="J356" s="968">
        <v>0</v>
      </c>
      <c r="K356" s="1420" t="s">
        <v>348</v>
      </c>
    </row>
    <row r="357" spans="1:11" ht="15" customHeight="1" x14ac:dyDescent="0.15">
      <c r="A357" s="1441"/>
      <c r="B357" s="969" t="s">
        <v>73</v>
      </c>
      <c r="C357" s="970">
        <f t="shared" si="65"/>
        <v>20</v>
      </c>
      <c r="D357" s="970">
        <v>0</v>
      </c>
      <c r="E357" s="970">
        <v>0</v>
      </c>
      <c r="F357" s="972">
        <v>20</v>
      </c>
      <c r="G357" s="973">
        <v>0</v>
      </c>
      <c r="H357" s="970">
        <v>0</v>
      </c>
      <c r="I357" s="970">
        <v>0</v>
      </c>
      <c r="J357" s="974">
        <v>0</v>
      </c>
      <c r="K357" s="1420"/>
    </row>
    <row r="358" spans="1:11" x14ac:dyDescent="0.15">
      <c r="A358" s="1440" t="s">
        <v>437</v>
      </c>
      <c r="B358" s="963" t="s">
        <v>72</v>
      </c>
      <c r="C358" s="1072">
        <f t="shared" si="65"/>
        <v>45</v>
      </c>
      <c r="D358" s="964">
        <v>0</v>
      </c>
      <c r="E358" s="964">
        <v>0</v>
      </c>
      <c r="F358" s="966">
        <v>45</v>
      </c>
      <c r="G358" s="967">
        <v>0</v>
      </c>
      <c r="H358" s="964">
        <v>0</v>
      </c>
      <c r="I358" s="964">
        <v>0</v>
      </c>
      <c r="J358" s="968">
        <v>0</v>
      </c>
      <c r="K358" s="1420" t="s">
        <v>348</v>
      </c>
    </row>
    <row r="359" spans="1:11" x14ac:dyDescent="0.15">
      <c r="A359" s="1441"/>
      <c r="B359" s="969" t="s">
        <v>73</v>
      </c>
      <c r="C359" s="970">
        <f t="shared" si="65"/>
        <v>45</v>
      </c>
      <c r="D359" s="970">
        <v>0</v>
      </c>
      <c r="E359" s="970">
        <v>0</v>
      </c>
      <c r="F359" s="972">
        <v>45</v>
      </c>
      <c r="G359" s="973">
        <v>0</v>
      </c>
      <c r="H359" s="970">
        <v>0</v>
      </c>
      <c r="I359" s="970">
        <v>0</v>
      </c>
      <c r="J359" s="974">
        <v>0</v>
      </c>
      <c r="K359" s="1420"/>
    </row>
    <row r="360" spans="1:11" x14ac:dyDescent="0.15">
      <c r="A360" s="1440" t="s">
        <v>438</v>
      </c>
      <c r="B360" s="963" t="s">
        <v>72</v>
      </c>
      <c r="C360" s="1072">
        <f t="shared" si="65"/>
        <v>89</v>
      </c>
      <c r="D360" s="964">
        <v>0</v>
      </c>
      <c r="E360" s="964">
        <v>0</v>
      </c>
      <c r="F360" s="966">
        <v>89</v>
      </c>
      <c r="G360" s="967">
        <v>0</v>
      </c>
      <c r="H360" s="964">
        <v>0</v>
      </c>
      <c r="I360" s="964">
        <v>0</v>
      </c>
      <c r="J360" s="968">
        <v>0</v>
      </c>
      <c r="K360" s="1420" t="s">
        <v>348</v>
      </c>
    </row>
    <row r="361" spans="1:11" x14ac:dyDescent="0.15">
      <c r="A361" s="1441"/>
      <c r="B361" s="969" t="s">
        <v>73</v>
      </c>
      <c r="C361" s="970">
        <f t="shared" si="65"/>
        <v>89</v>
      </c>
      <c r="D361" s="970">
        <v>0</v>
      </c>
      <c r="E361" s="970">
        <v>0</v>
      </c>
      <c r="F361" s="972">
        <v>89</v>
      </c>
      <c r="G361" s="973">
        <v>0</v>
      </c>
      <c r="H361" s="970">
        <v>0</v>
      </c>
      <c r="I361" s="970">
        <v>0</v>
      </c>
      <c r="J361" s="974">
        <v>0</v>
      </c>
      <c r="K361" s="1420"/>
    </row>
    <row r="362" spans="1:11" x14ac:dyDescent="0.15">
      <c r="A362" s="1440" t="s">
        <v>439</v>
      </c>
      <c r="B362" s="963" t="s">
        <v>72</v>
      </c>
      <c r="C362" s="1072">
        <f t="shared" si="65"/>
        <v>30</v>
      </c>
      <c r="D362" s="964">
        <v>0</v>
      </c>
      <c r="E362" s="964">
        <v>0</v>
      </c>
      <c r="F362" s="966">
        <v>30</v>
      </c>
      <c r="G362" s="967">
        <v>0</v>
      </c>
      <c r="H362" s="964">
        <v>0</v>
      </c>
      <c r="I362" s="964">
        <v>0</v>
      </c>
      <c r="J362" s="968">
        <v>0</v>
      </c>
      <c r="K362" s="1420" t="s">
        <v>348</v>
      </c>
    </row>
    <row r="363" spans="1:11" x14ac:dyDescent="0.15">
      <c r="A363" s="1441"/>
      <c r="B363" s="969" t="s">
        <v>73</v>
      </c>
      <c r="C363" s="970">
        <f t="shared" si="65"/>
        <v>30</v>
      </c>
      <c r="D363" s="970">
        <v>0</v>
      </c>
      <c r="E363" s="970">
        <v>0</v>
      </c>
      <c r="F363" s="972">
        <v>30</v>
      </c>
      <c r="G363" s="973">
        <v>0</v>
      </c>
      <c r="H363" s="970">
        <v>0</v>
      </c>
      <c r="I363" s="970">
        <v>0</v>
      </c>
      <c r="J363" s="974">
        <v>0</v>
      </c>
      <c r="K363" s="1420"/>
    </row>
    <row r="364" spans="1:11" x14ac:dyDescent="0.15">
      <c r="A364" s="1440" t="s">
        <v>440</v>
      </c>
      <c r="B364" s="963" t="s">
        <v>72</v>
      </c>
      <c r="C364" s="1072">
        <f t="shared" si="65"/>
        <v>25</v>
      </c>
      <c r="D364" s="964">
        <v>0</v>
      </c>
      <c r="E364" s="964">
        <v>0</v>
      </c>
      <c r="F364" s="966">
        <v>25</v>
      </c>
      <c r="G364" s="967">
        <v>0</v>
      </c>
      <c r="H364" s="964">
        <v>0</v>
      </c>
      <c r="I364" s="964">
        <v>0</v>
      </c>
      <c r="J364" s="968">
        <v>0</v>
      </c>
      <c r="K364" s="1420" t="s">
        <v>348</v>
      </c>
    </row>
    <row r="365" spans="1:11" x14ac:dyDescent="0.15">
      <c r="A365" s="1441"/>
      <c r="B365" s="969" t="s">
        <v>73</v>
      </c>
      <c r="C365" s="970">
        <f t="shared" si="65"/>
        <v>25</v>
      </c>
      <c r="D365" s="970">
        <v>0</v>
      </c>
      <c r="E365" s="970">
        <v>0</v>
      </c>
      <c r="F365" s="972">
        <v>25</v>
      </c>
      <c r="G365" s="973">
        <v>0</v>
      </c>
      <c r="H365" s="970">
        <v>0</v>
      </c>
      <c r="I365" s="970">
        <v>0</v>
      </c>
      <c r="J365" s="974">
        <v>0</v>
      </c>
      <c r="K365" s="1420"/>
    </row>
    <row r="366" spans="1:11" x14ac:dyDescent="0.15">
      <c r="A366" s="1440" t="s">
        <v>441</v>
      </c>
      <c r="B366" s="963" t="s">
        <v>72</v>
      </c>
      <c r="C366" s="1072">
        <f t="shared" si="65"/>
        <v>25</v>
      </c>
      <c r="D366" s="964">
        <v>0</v>
      </c>
      <c r="E366" s="964">
        <v>0</v>
      </c>
      <c r="F366" s="966">
        <v>25</v>
      </c>
      <c r="G366" s="967">
        <v>0</v>
      </c>
      <c r="H366" s="964">
        <v>0</v>
      </c>
      <c r="I366" s="964">
        <v>0</v>
      </c>
      <c r="J366" s="968">
        <v>0</v>
      </c>
      <c r="K366" s="1420" t="s">
        <v>348</v>
      </c>
    </row>
    <row r="367" spans="1:11" x14ac:dyDescent="0.15">
      <c r="A367" s="1441"/>
      <c r="B367" s="969" t="s">
        <v>73</v>
      </c>
      <c r="C367" s="970">
        <f t="shared" si="65"/>
        <v>25</v>
      </c>
      <c r="D367" s="970">
        <v>0</v>
      </c>
      <c r="E367" s="970">
        <v>0</v>
      </c>
      <c r="F367" s="972">
        <v>25</v>
      </c>
      <c r="G367" s="973">
        <v>0</v>
      </c>
      <c r="H367" s="970">
        <v>0</v>
      </c>
      <c r="I367" s="970">
        <v>0</v>
      </c>
      <c r="J367" s="974">
        <v>0</v>
      </c>
      <c r="K367" s="1420"/>
    </row>
    <row r="368" spans="1:11" x14ac:dyDescent="0.15">
      <c r="A368" s="1440" t="s">
        <v>442</v>
      </c>
      <c r="B368" s="963" t="s">
        <v>72</v>
      </c>
      <c r="C368" s="1072">
        <f t="shared" si="65"/>
        <v>89</v>
      </c>
      <c r="D368" s="964">
        <v>0</v>
      </c>
      <c r="E368" s="964">
        <v>0</v>
      </c>
      <c r="F368" s="966">
        <v>89</v>
      </c>
      <c r="G368" s="967">
        <v>0</v>
      </c>
      <c r="H368" s="964">
        <v>0</v>
      </c>
      <c r="I368" s="964">
        <v>0</v>
      </c>
      <c r="J368" s="968">
        <v>0</v>
      </c>
      <c r="K368" s="1420" t="s">
        <v>348</v>
      </c>
    </row>
    <row r="369" spans="1:11" x14ac:dyDescent="0.15">
      <c r="A369" s="1441"/>
      <c r="B369" s="969" t="s">
        <v>73</v>
      </c>
      <c r="C369" s="970">
        <f t="shared" si="65"/>
        <v>89</v>
      </c>
      <c r="D369" s="970">
        <v>0</v>
      </c>
      <c r="E369" s="970">
        <v>0</v>
      </c>
      <c r="F369" s="972">
        <v>89</v>
      </c>
      <c r="G369" s="973">
        <v>0</v>
      </c>
      <c r="H369" s="970">
        <v>0</v>
      </c>
      <c r="I369" s="970">
        <v>0</v>
      </c>
      <c r="J369" s="974">
        <v>0</v>
      </c>
      <c r="K369" s="1420"/>
    </row>
    <row r="370" spans="1:11" x14ac:dyDescent="0.15">
      <c r="A370" s="1440" t="s">
        <v>443</v>
      </c>
      <c r="B370" s="963" t="s">
        <v>72</v>
      </c>
      <c r="C370" s="1072">
        <f t="shared" si="65"/>
        <v>20</v>
      </c>
      <c r="D370" s="964">
        <v>0</v>
      </c>
      <c r="E370" s="964">
        <v>0</v>
      </c>
      <c r="F370" s="966">
        <v>20</v>
      </c>
      <c r="G370" s="967">
        <v>0</v>
      </c>
      <c r="H370" s="964">
        <v>0</v>
      </c>
      <c r="I370" s="964">
        <v>0</v>
      </c>
      <c r="J370" s="968">
        <v>0</v>
      </c>
      <c r="K370" s="1420" t="s">
        <v>348</v>
      </c>
    </row>
    <row r="371" spans="1:11" x14ac:dyDescent="0.15">
      <c r="A371" s="1441"/>
      <c r="B371" s="969" t="s">
        <v>73</v>
      </c>
      <c r="C371" s="970">
        <f t="shared" si="65"/>
        <v>20</v>
      </c>
      <c r="D371" s="970">
        <v>0</v>
      </c>
      <c r="E371" s="970">
        <v>0</v>
      </c>
      <c r="F371" s="972">
        <v>20</v>
      </c>
      <c r="G371" s="973">
        <v>0</v>
      </c>
      <c r="H371" s="970">
        <v>0</v>
      </c>
      <c r="I371" s="970">
        <v>0</v>
      </c>
      <c r="J371" s="974">
        <v>0</v>
      </c>
      <c r="K371" s="1420"/>
    </row>
    <row r="372" spans="1:11" x14ac:dyDescent="0.15">
      <c r="A372" s="1440" t="s">
        <v>444</v>
      </c>
      <c r="B372" s="963" t="s">
        <v>72</v>
      </c>
      <c r="C372" s="1072">
        <f t="shared" si="65"/>
        <v>20</v>
      </c>
      <c r="D372" s="964">
        <v>0</v>
      </c>
      <c r="E372" s="964">
        <v>0</v>
      </c>
      <c r="F372" s="966">
        <v>20</v>
      </c>
      <c r="G372" s="967">
        <v>0</v>
      </c>
      <c r="H372" s="964">
        <v>0</v>
      </c>
      <c r="I372" s="964">
        <v>0</v>
      </c>
      <c r="J372" s="968">
        <v>0</v>
      </c>
      <c r="K372" s="1420" t="s">
        <v>348</v>
      </c>
    </row>
    <row r="373" spans="1:11" x14ac:dyDescent="0.15">
      <c r="A373" s="1441"/>
      <c r="B373" s="969" t="s">
        <v>73</v>
      </c>
      <c r="C373" s="970">
        <f t="shared" si="65"/>
        <v>20</v>
      </c>
      <c r="D373" s="970">
        <v>0</v>
      </c>
      <c r="E373" s="970">
        <v>0</v>
      </c>
      <c r="F373" s="972">
        <v>20</v>
      </c>
      <c r="G373" s="973">
        <v>0</v>
      </c>
      <c r="H373" s="970">
        <v>0</v>
      </c>
      <c r="I373" s="970">
        <v>0</v>
      </c>
      <c r="J373" s="974">
        <v>0</v>
      </c>
      <c r="K373" s="1420"/>
    </row>
    <row r="374" spans="1:11" x14ac:dyDescent="0.15">
      <c r="A374" s="1440" t="s">
        <v>445</v>
      </c>
      <c r="B374" s="963" t="s">
        <v>72</v>
      </c>
      <c r="C374" s="1072">
        <f t="shared" si="65"/>
        <v>75</v>
      </c>
      <c r="D374" s="964">
        <v>0</v>
      </c>
      <c r="E374" s="964">
        <v>0</v>
      </c>
      <c r="F374" s="966">
        <v>75</v>
      </c>
      <c r="G374" s="967">
        <v>0</v>
      </c>
      <c r="H374" s="964">
        <v>0</v>
      </c>
      <c r="I374" s="964">
        <v>0</v>
      </c>
      <c r="J374" s="968">
        <v>0</v>
      </c>
      <c r="K374" s="1420" t="s">
        <v>348</v>
      </c>
    </row>
    <row r="375" spans="1:11" x14ac:dyDescent="0.15">
      <c r="A375" s="1441"/>
      <c r="B375" s="969" t="s">
        <v>73</v>
      </c>
      <c r="C375" s="970">
        <f t="shared" si="65"/>
        <v>75</v>
      </c>
      <c r="D375" s="970">
        <v>0</v>
      </c>
      <c r="E375" s="970">
        <v>0</v>
      </c>
      <c r="F375" s="972">
        <v>75</v>
      </c>
      <c r="G375" s="973">
        <v>0</v>
      </c>
      <c r="H375" s="970">
        <v>0</v>
      </c>
      <c r="I375" s="970">
        <v>0</v>
      </c>
      <c r="J375" s="974">
        <v>0</v>
      </c>
      <c r="K375" s="1420"/>
    </row>
    <row r="376" spans="1:11" ht="14.25" customHeight="1" x14ac:dyDescent="0.15">
      <c r="A376" s="1440" t="s">
        <v>446</v>
      </c>
      <c r="B376" s="963" t="s">
        <v>72</v>
      </c>
      <c r="C376" s="1072">
        <f t="shared" si="65"/>
        <v>80</v>
      </c>
      <c r="D376" s="964">
        <v>0</v>
      </c>
      <c r="E376" s="964">
        <v>0</v>
      </c>
      <c r="F376" s="966">
        <v>80</v>
      </c>
      <c r="G376" s="967">
        <v>0</v>
      </c>
      <c r="H376" s="964">
        <v>0</v>
      </c>
      <c r="I376" s="964">
        <v>0</v>
      </c>
      <c r="J376" s="968">
        <v>0</v>
      </c>
      <c r="K376" s="1420" t="s">
        <v>348</v>
      </c>
    </row>
    <row r="377" spans="1:11" ht="12.75" customHeight="1" x14ac:dyDescent="0.15">
      <c r="A377" s="1441"/>
      <c r="B377" s="969" t="s">
        <v>73</v>
      </c>
      <c r="C377" s="970">
        <f t="shared" si="65"/>
        <v>80</v>
      </c>
      <c r="D377" s="970">
        <v>0</v>
      </c>
      <c r="E377" s="970">
        <v>0</v>
      </c>
      <c r="F377" s="972">
        <v>80</v>
      </c>
      <c r="G377" s="973">
        <v>0</v>
      </c>
      <c r="H377" s="970">
        <v>0</v>
      </c>
      <c r="I377" s="970">
        <v>0</v>
      </c>
      <c r="J377" s="974">
        <v>0</v>
      </c>
      <c r="K377" s="1420"/>
    </row>
    <row r="378" spans="1:11" ht="12.75" customHeight="1" x14ac:dyDescent="0.15">
      <c r="A378" s="1440" t="s">
        <v>447</v>
      </c>
      <c r="B378" s="963" t="s">
        <v>72</v>
      </c>
      <c r="C378" s="1072">
        <f t="shared" si="65"/>
        <v>40</v>
      </c>
      <c r="D378" s="964">
        <v>0</v>
      </c>
      <c r="E378" s="964">
        <v>0</v>
      </c>
      <c r="F378" s="966">
        <v>40</v>
      </c>
      <c r="G378" s="967">
        <v>0</v>
      </c>
      <c r="H378" s="964">
        <v>0</v>
      </c>
      <c r="I378" s="964">
        <v>0</v>
      </c>
      <c r="J378" s="968">
        <v>0</v>
      </c>
      <c r="K378" s="1420" t="s">
        <v>348</v>
      </c>
    </row>
    <row r="379" spans="1:11" ht="12.75" customHeight="1" x14ac:dyDescent="0.15">
      <c r="A379" s="1441"/>
      <c r="B379" s="969" t="s">
        <v>73</v>
      </c>
      <c r="C379" s="970">
        <f t="shared" si="65"/>
        <v>40</v>
      </c>
      <c r="D379" s="970">
        <v>0</v>
      </c>
      <c r="E379" s="970">
        <v>0</v>
      </c>
      <c r="F379" s="972">
        <v>40</v>
      </c>
      <c r="G379" s="973">
        <v>0</v>
      </c>
      <c r="H379" s="970">
        <v>0</v>
      </c>
      <c r="I379" s="970">
        <v>0</v>
      </c>
      <c r="J379" s="974">
        <v>0</v>
      </c>
      <c r="K379" s="1420"/>
    </row>
    <row r="380" spans="1:11" ht="15" customHeight="1" x14ac:dyDescent="0.15">
      <c r="A380" s="1440" t="s">
        <v>448</v>
      </c>
      <c r="B380" s="963" t="s">
        <v>72</v>
      </c>
      <c r="C380" s="1072">
        <f t="shared" si="65"/>
        <v>40</v>
      </c>
      <c r="D380" s="964">
        <v>0</v>
      </c>
      <c r="E380" s="964">
        <v>0</v>
      </c>
      <c r="F380" s="966">
        <v>40</v>
      </c>
      <c r="G380" s="967">
        <v>0</v>
      </c>
      <c r="H380" s="964">
        <v>0</v>
      </c>
      <c r="I380" s="964">
        <v>0</v>
      </c>
      <c r="J380" s="968">
        <v>0</v>
      </c>
      <c r="K380" s="1420" t="s">
        <v>348</v>
      </c>
    </row>
    <row r="381" spans="1:11" ht="12" customHeight="1" x14ac:dyDescent="0.15">
      <c r="A381" s="1441"/>
      <c r="B381" s="969" t="s">
        <v>73</v>
      </c>
      <c r="C381" s="970">
        <f t="shared" si="65"/>
        <v>40</v>
      </c>
      <c r="D381" s="970">
        <v>0</v>
      </c>
      <c r="E381" s="970">
        <v>0</v>
      </c>
      <c r="F381" s="972">
        <v>40</v>
      </c>
      <c r="G381" s="973">
        <v>0</v>
      </c>
      <c r="H381" s="970">
        <v>0</v>
      </c>
      <c r="I381" s="970">
        <v>0</v>
      </c>
      <c r="J381" s="974">
        <v>0</v>
      </c>
      <c r="K381" s="1420"/>
    </row>
    <row r="382" spans="1:11" ht="12" customHeight="1" x14ac:dyDescent="0.15">
      <c r="A382" s="1440" t="s">
        <v>449</v>
      </c>
      <c r="B382" s="963" t="s">
        <v>72</v>
      </c>
      <c r="C382" s="1072">
        <f t="shared" si="65"/>
        <v>89</v>
      </c>
      <c r="D382" s="964">
        <v>0</v>
      </c>
      <c r="E382" s="964">
        <v>0</v>
      </c>
      <c r="F382" s="966">
        <v>89</v>
      </c>
      <c r="G382" s="967">
        <v>0</v>
      </c>
      <c r="H382" s="964">
        <v>0</v>
      </c>
      <c r="I382" s="964">
        <v>0</v>
      </c>
      <c r="J382" s="968">
        <v>0</v>
      </c>
      <c r="K382" s="1420" t="s">
        <v>348</v>
      </c>
    </row>
    <row r="383" spans="1:11" ht="12" customHeight="1" x14ac:dyDescent="0.15">
      <c r="A383" s="1441"/>
      <c r="B383" s="969" t="s">
        <v>73</v>
      </c>
      <c r="C383" s="970">
        <f t="shared" si="65"/>
        <v>89</v>
      </c>
      <c r="D383" s="970">
        <v>0</v>
      </c>
      <c r="E383" s="970">
        <v>0</v>
      </c>
      <c r="F383" s="972">
        <v>89</v>
      </c>
      <c r="G383" s="973">
        <v>0</v>
      </c>
      <c r="H383" s="970">
        <v>0</v>
      </c>
      <c r="I383" s="970">
        <v>0</v>
      </c>
      <c r="J383" s="974">
        <v>0</v>
      </c>
      <c r="K383" s="1420"/>
    </row>
    <row r="384" spans="1:11" ht="12" customHeight="1" x14ac:dyDescent="0.15">
      <c r="A384" s="1440" t="s">
        <v>450</v>
      </c>
      <c r="B384" s="963" t="s">
        <v>72</v>
      </c>
      <c r="C384" s="1072">
        <f t="shared" si="65"/>
        <v>14</v>
      </c>
      <c r="D384" s="964">
        <v>0</v>
      </c>
      <c r="E384" s="964">
        <v>0</v>
      </c>
      <c r="F384" s="966">
        <v>14</v>
      </c>
      <c r="G384" s="967">
        <v>0</v>
      </c>
      <c r="H384" s="964">
        <v>0</v>
      </c>
      <c r="I384" s="964">
        <v>0</v>
      </c>
      <c r="J384" s="968">
        <v>0</v>
      </c>
      <c r="K384" s="1420" t="s">
        <v>348</v>
      </c>
    </row>
    <row r="385" spans="1:11" ht="12" customHeight="1" x14ac:dyDescent="0.15">
      <c r="A385" s="1441"/>
      <c r="B385" s="969" t="s">
        <v>73</v>
      </c>
      <c r="C385" s="970">
        <f t="shared" si="65"/>
        <v>14</v>
      </c>
      <c r="D385" s="970">
        <v>0</v>
      </c>
      <c r="E385" s="970">
        <v>0</v>
      </c>
      <c r="F385" s="972">
        <v>14</v>
      </c>
      <c r="G385" s="973">
        <v>0</v>
      </c>
      <c r="H385" s="970">
        <v>0</v>
      </c>
      <c r="I385" s="970">
        <v>0</v>
      </c>
      <c r="J385" s="974">
        <v>0</v>
      </c>
      <c r="K385" s="1420"/>
    </row>
    <row r="386" spans="1:11" ht="12" customHeight="1" x14ac:dyDescent="0.15">
      <c r="A386" s="1440" t="s">
        <v>451</v>
      </c>
      <c r="B386" s="963" t="s">
        <v>72</v>
      </c>
      <c r="C386" s="1072">
        <f t="shared" si="65"/>
        <v>6</v>
      </c>
      <c r="D386" s="964">
        <v>0</v>
      </c>
      <c r="E386" s="964">
        <v>0</v>
      </c>
      <c r="F386" s="966">
        <v>6</v>
      </c>
      <c r="G386" s="967">
        <v>0</v>
      </c>
      <c r="H386" s="964">
        <v>0</v>
      </c>
      <c r="I386" s="964">
        <v>0</v>
      </c>
      <c r="J386" s="968">
        <v>0</v>
      </c>
      <c r="K386" s="1420" t="s">
        <v>348</v>
      </c>
    </row>
    <row r="387" spans="1:11" ht="12" customHeight="1" x14ac:dyDescent="0.15">
      <c r="A387" s="1441"/>
      <c r="B387" s="969" t="s">
        <v>73</v>
      </c>
      <c r="C387" s="970">
        <f t="shared" si="65"/>
        <v>6</v>
      </c>
      <c r="D387" s="970">
        <v>0</v>
      </c>
      <c r="E387" s="970">
        <v>0</v>
      </c>
      <c r="F387" s="972">
        <v>6</v>
      </c>
      <c r="G387" s="973">
        <v>0</v>
      </c>
      <c r="H387" s="970">
        <v>0</v>
      </c>
      <c r="I387" s="970">
        <v>0</v>
      </c>
      <c r="J387" s="974">
        <v>0</v>
      </c>
      <c r="K387" s="1420"/>
    </row>
    <row r="388" spans="1:11" ht="12" customHeight="1" x14ac:dyDescent="0.15">
      <c r="A388" s="1440" t="s">
        <v>452</v>
      </c>
      <c r="B388" s="963" t="s">
        <v>72</v>
      </c>
      <c r="C388" s="1072">
        <f t="shared" si="65"/>
        <v>30</v>
      </c>
      <c r="D388" s="964">
        <v>0</v>
      </c>
      <c r="E388" s="964">
        <v>0</v>
      </c>
      <c r="F388" s="966">
        <v>30</v>
      </c>
      <c r="G388" s="967">
        <v>0</v>
      </c>
      <c r="H388" s="964">
        <v>0</v>
      </c>
      <c r="I388" s="964">
        <v>0</v>
      </c>
      <c r="J388" s="968">
        <v>0</v>
      </c>
      <c r="K388" s="1420" t="s">
        <v>348</v>
      </c>
    </row>
    <row r="389" spans="1:11" ht="12" customHeight="1" x14ac:dyDescent="0.15">
      <c r="A389" s="1441"/>
      <c r="B389" s="969" t="s">
        <v>73</v>
      </c>
      <c r="C389" s="970">
        <f t="shared" si="65"/>
        <v>30</v>
      </c>
      <c r="D389" s="970">
        <v>0</v>
      </c>
      <c r="E389" s="970">
        <v>0</v>
      </c>
      <c r="F389" s="972">
        <v>30</v>
      </c>
      <c r="G389" s="973">
        <v>0</v>
      </c>
      <c r="H389" s="970">
        <v>0</v>
      </c>
      <c r="I389" s="970">
        <v>0</v>
      </c>
      <c r="J389" s="974">
        <v>0</v>
      </c>
      <c r="K389" s="1420"/>
    </row>
    <row r="390" spans="1:11" x14ac:dyDescent="0.15">
      <c r="A390" s="1440" t="s">
        <v>453</v>
      </c>
      <c r="B390" s="963" t="s">
        <v>72</v>
      </c>
      <c r="C390" s="1072">
        <f t="shared" si="65"/>
        <v>25</v>
      </c>
      <c r="D390" s="964">
        <v>0</v>
      </c>
      <c r="E390" s="964">
        <v>0</v>
      </c>
      <c r="F390" s="966">
        <v>25</v>
      </c>
      <c r="G390" s="967">
        <v>0</v>
      </c>
      <c r="H390" s="964">
        <v>0</v>
      </c>
      <c r="I390" s="964">
        <v>0</v>
      </c>
      <c r="J390" s="968">
        <v>0</v>
      </c>
      <c r="K390" s="1420" t="s">
        <v>348</v>
      </c>
    </row>
    <row r="391" spans="1:11" x14ac:dyDescent="0.15">
      <c r="A391" s="1441"/>
      <c r="B391" s="969" t="s">
        <v>73</v>
      </c>
      <c r="C391" s="970">
        <f t="shared" si="65"/>
        <v>25</v>
      </c>
      <c r="D391" s="970">
        <v>0</v>
      </c>
      <c r="E391" s="970">
        <v>0</v>
      </c>
      <c r="F391" s="972">
        <v>25</v>
      </c>
      <c r="G391" s="973">
        <v>0</v>
      </c>
      <c r="H391" s="970">
        <v>0</v>
      </c>
      <c r="I391" s="970">
        <v>0</v>
      </c>
      <c r="J391" s="974">
        <v>0</v>
      </c>
      <c r="K391" s="1420"/>
    </row>
    <row r="392" spans="1:11" x14ac:dyDescent="0.15">
      <c r="A392" s="1440" t="s">
        <v>454</v>
      </c>
      <c r="B392" s="963" t="s">
        <v>72</v>
      </c>
      <c r="C392" s="1072">
        <f t="shared" si="65"/>
        <v>30</v>
      </c>
      <c r="D392" s="964">
        <v>0</v>
      </c>
      <c r="E392" s="964">
        <v>0</v>
      </c>
      <c r="F392" s="966">
        <v>30</v>
      </c>
      <c r="G392" s="967">
        <v>0</v>
      </c>
      <c r="H392" s="964">
        <v>0</v>
      </c>
      <c r="I392" s="964">
        <v>0</v>
      </c>
      <c r="J392" s="968">
        <v>0</v>
      </c>
      <c r="K392" s="1420" t="s">
        <v>348</v>
      </c>
    </row>
    <row r="393" spans="1:11" x14ac:dyDescent="0.15">
      <c r="A393" s="1441"/>
      <c r="B393" s="969" t="s">
        <v>73</v>
      </c>
      <c r="C393" s="970">
        <f t="shared" si="65"/>
        <v>30</v>
      </c>
      <c r="D393" s="970">
        <v>0</v>
      </c>
      <c r="E393" s="970">
        <v>0</v>
      </c>
      <c r="F393" s="972">
        <v>30</v>
      </c>
      <c r="G393" s="973">
        <v>0</v>
      </c>
      <c r="H393" s="970">
        <v>0</v>
      </c>
      <c r="I393" s="970">
        <v>0</v>
      </c>
      <c r="J393" s="974">
        <v>0</v>
      </c>
      <c r="K393" s="1420"/>
    </row>
    <row r="394" spans="1:11" x14ac:dyDescent="0.15">
      <c r="A394" s="1440" t="s">
        <v>455</v>
      </c>
      <c r="B394" s="963" t="s">
        <v>72</v>
      </c>
      <c r="C394" s="1072">
        <f t="shared" si="65"/>
        <v>15</v>
      </c>
      <c r="D394" s="964">
        <v>0</v>
      </c>
      <c r="E394" s="964">
        <v>0</v>
      </c>
      <c r="F394" s="966">
        <v>15</v>
      </c>
      <c r="G394" s="967">
        <v>0</v>
      </c>
      <c r="H394" s="964">
        <v>0</v>
      </c>
      <c r="I394" s="964">
        <v>0</v>
      </c>
      <c r="J394" s="968">
        <v>0</v>
      </c>
      <c r="K394" s="1420" t="s">
        <v>348</v>
      </c>
    </row>
    <row r="395" spans="1:11" x14ac:dyDescent="0.15">
      <c r="A395" s="1441"/>
      <c r="B395" s="969" t="s">
        <v>73</v>
      </c>
      <c r="C395" s="970">
        <f t="shared" si="65"/>
        <v>15</v>
      </c>
      <c r="D395" s="970">
        <v>0</v>
      </c>
      <c r="E395" s="970">
        <v>0</v>
      </c>
      <c r="F395" s="972">
        <v>15</v>
      </c>
      <c r="G395" s="973">
        <v>0</v>
      </c>
      <c r="H395" s="970">
        <v>0</v>
      </c>
      <c r="I395" s="970">
        <v>0</v>
      </c>
      <c r="J395" s="974">
        <v>0</v>
      </c>
      <c r="K395" s="1420"/>
    </row>
    <row r="396" spans="1:11" x14ac:dyDescent="0.15">
      <c r="A396" s="1440" t="s">
        <v>456</v>
      </c>
      <c r="B396" s="963" t="s">
        <v>72</v>
      </c>
      <c r="C396" s="1072">
        <f t="shared" si="65"/>
        <v>89</v>
      </c>
      <c r="D396" s="964">
        <v>0</v>
      </c>
      <c r="E396" s="964">
        <v>0</v>
      </c>
      <c r="F396" s="966">
        <v>89</v>
      </c>
      <c r="G396" s="967">
        <v>0</v>
      </c>
      <c r="H396" s="964">
        <v>0</v>
      </c>
      <c r="I396" s="964">
        <v>0</v>
      </c>
      <c r="J396" s="968">
        <v>0</v>
      </c>
      <c r="K396" s="1420" t="s">
        <v>348</v>
      </c>
    </row>
    <row r="397" spans="1:11" x14ac:dyDescent="0.15">
      <c r="A397" s="1441"/>
      <c r="B397" s="969" t="s">
        <v>73</v>
      </c>
      <c r="C397" s="970">
        <f t="shared" si="65"/>
        <v>89</v>
      </c>
      <c r="D397" s="970">
        <v>0</v>
      </c>
      <c r="E397" s="970">
        <v>0</v>
      </c>
      <c r="F397" s="972">
        <v>89</v>
      </c>
      <c r="G397" s="973">
        <v>0</v>
      </c>
      <c r="H397" s="970">
        <v>0</v>
      </c>
      <c r="I397" s="970">
        <v>0</v>
      </c>
      <c r="J397" s="974">
        <v>0</v>
      </c>
      <c r="K397" s="1420"/>
    </row>
    <row r="398" spans="1:11" x14ac:dyDescent="0.15">
      <c r="A398" s="1440" t="s">
        <v>457</v>
      </c>
      <c r="B398" s="963" t="s">
        <v>72</v>
      </c>
      <c r="C398" s="1072">
        <f t="shared" si="65"/>
        <v>40</v>
      </c>
      <c r="D398" s="964">
        <v>0</v>
      </c>
      <c r="E398" s="964">
        <v>0</v>
      </c>
      <c r="F398" s="966">
        <v>40</v>
      </c>
      <c r="G398" s="967">
        <v>0</v>
      </c>
      <c r="H398" s="964">
        <v>0</v>
      </c>
      <c r="I398" s="964">
        <v>0</v>
      </c>
      <c r="J398" s="968">
        <v>0</v>
      </c>
      <c r="K398" s="1420" t="s">
        <v>348</v>
      </c>
    </row>
    <row r="399" spans="1:11" x14ac:dyDescent="0.15">
      <c r="A399" s="1441"/>
      <c r="B399" s="969" t="s">
        <v>73</v>
      </c>
      <c r="C399" s="970">
        <f t="shared" si="65"/>
        <v>40</v>
      </c>
      <c r="D399" s="970">
        <v>0</v>
      </c>
      <c r="E399" s="970">
        <v>0</v>
      </c>
      <c r="F399" s="972">
        <v>40</v>
      </c>
      <c r="G399" s="973">
        <v>0</v>
      </c>
      <c r="H399" s="970">
        <v>0</v>
      </c>
      <c r="I399" s="970">
        <v>0</v>
      </c>
      <c r="J399" s="974">
        <v>0</v>
      </c>
      <c r="K399" s="1420"/>
    </row>
    <row r="400" spans="1:11" x14ac:dyDescent="0.15">
      <c r="A400" s="1440" t="s">
        <v>458</v>
      </c>
      <c r="B400" s="963" t="s">
        <v>72</v>
      </c>
      <c r="C400" s="1072">
        <f t="shared" si="65"/>
        <v>89</v>
      </c>
      <c r="D400" s="964">
        <v>0</v>
      </c>
      <c r="E400" s="964">
        <v>0</v>
      </c>
      <c r="F400" s="966">
        <v>89</v>
      </c>
      <c r="G400" s="967">
        <v>0</v>
      </c>
      <c r="H400" s="964">
        <v>0</v>
      </c>
      <c r="I400" s="964">
        <v>0</v>
      </c>
      <c r="J400" s="968">
        <v>0</v>
      </c>
      <c r="K400" s="1420" t="s">
        <v>348</v>
      </c>
    </row>
    <row r="401" spans="1:11" x14ac:dyDescent="0.15">
      <c r="A401" s="1441"/>
      <c r="B401" s="969" t="s">
        <v>73</v>
      </c>
      <c r="C401" s="970">
        <f t="shared" si="65"/>
        <v>89</v>
      </c>
      <c r="D401" s="970">
        <v>0</v>
      </c>
      <c r="E401" s="970">
        <v>0</v>
      </c>
      <c r="F401" s="972">
        <v>89</v>
      </c>
      <c r="G401" s="973">
        <v>0</v>
      </c>
      <c r="H401" s="970">
        <v>0</v>
      </c>
      <c r="I401" s="970">
        <v>0</v>
      </c>
      <c r="J401" s="974">
        <v>0</v>
      </c>
      <c r="K401" s="1420"/>
    </row>
    <row r="402" spans="1:11" x14ac:dyDescent="0.15">
      <c r="A402" s="1444" t="s">
        <v>459</v>
      </c>
      <c r="B402" s="963" t="s">
        <v>72</v>
      </c>
      <c r="C402" s="1072">
        <f t="shared" si="65"/>
        <v>290</v>
      </c>
      <c r="D402" s="964">
        <v>0</v>
      </c>
      <c r="E402" s="965">
        <v>0</v>
      </c>
      <c r="F402" s="966">
        <v>290</v>
      </c>
      <c r="G402" s="967">
        <v>0</v>
      </c>
      <c r="H402" s="964">
        <v>0</v>
      </c>
      <c r="I402" s="964">
        <v>0</v>
      </c>
      <c r="J402" s="968">
        <v>0</v>
      </c>
      <c r="K402" s="1420" t="s">
        <v>348</v>
      </c>
    </row>
    <row r="403" spans="1:11" x14ac:dyDescent="0.15">
      <c r="A403" s="1445"/>
      <c r="B403" s="969" t="s">
        <v>73</v>
      </c>
      <c r="C403" s="970">
        <f t="shared" si="65"/>
        <v>290</v>
      </c>
      <c r="D403" s="970">
        <v>0</v>
      </c>
      <c r="E403" s="971">
        <v>0</v>
      </c>
      <c r="F403" s="972">
        <v>290</v>
      </c>
      <c r="G403" s="973">
        <v>0</v>
      </c>
      <c r="H403" s="970">
        <v>0</v>
      </c>
      <c r="I403" s="970">
        <v>0</v>
      </c>
      <c r="J403" s="974">
        <v>0</v>
      </c>
      <c r="K403" s="1420"/>
    </row>
    <row r="404" spans="1:11" x14ac:dyDescent="0.15">
      <c r="A404" s="1444" t="s">
        <v>460</v>
      </c>
      <c r="B404" s="963" t="s">
        <v>72</v>
      </c>
      <c r="C404" s="1072">
        <f t="shared" si="65"/>
        <v>315</v>
      </c>
      <c r="D404" s="964">
        <v>0</v>
      </c>
      <c r="E404" s="965">
        <v>0</v>
      </c>
      <c r="F404" s="966">
        <v>315</v>
      </c>
      <c r="G404" s="967">
        <v>0</v>
      </c>
      <c r="H404" s="964">
        <v>0</v>
      </c>
      <c r="I404" s="964">
        <v>0</v>
      </c>
      <c r="J404" s="968">
        <v>0</v>
      </c>
      <c r="K404" s="1420" t="s">
        <v>348</v>
      </c>
    </row>
    <row r="405" spans="1:11" x14ac:dyDescent="0.15">
      <c r="A405" s="1445"/>
      <c r="B405" s="969" t="s">
        <v>73</v>
      </c>
      <c r="C405" s="970">
        <f t="shared" si="65"/>
        <v>315</v>
      </c>
      <c r="D405" s="970">
        <v>0</v>
      </c>
      <c r="E405" s="971">
        <v>0</v>
      </c>
      <c r="F405" s="972">
        <v>315</v>
      </c>
      <c r="G405" s="973">
        <v>0</v>
      </c>
      <c r="H405" s="970">
        <v>0</v>
      </c>
      <c r="I405" s="970">
        <v>0</v>
      </c>
      <c r="J405" s="974">
        <v>0</v>
      </c>
      <c r="K405" s="1420"/>
    </row>
    <row r="406" spans="1:11" x14ac:dyDescent="0.15">
      <c r="A406" s="1440" t="s">
        <v>461</v>
      </c>
      <c r="B406" s="963" t="s">
        <v>72</v>
      </c>
      <c r="C406" s="1072">
        <f t="shared" si="65"/>
        <v>50</v>
      </c>
      <c r="D406" s="964">
        <v>0</v>
      </c>
      <c r="E406" s="965">
        <v>0</v>
      </c>
      <c r="F406" s="966">
        <v>50</v>
      </c>
      <c r="G406" s="967">
        <v>0</v>
      </c>
      <c r="H406" s="964">
        <v>0</v>
      </c>
      <c r="I406" s="964">
        <v>0</v>
      </c>
      <c r="J406" s="968">
        <v>0</v>
      </c>
      <c r="K406" s="1420" t="s">
        <v>348</v>
      </c>
    </row>
    <row r="407" spans="1:11" x14ac:dyDescent="0.15">
      <c r="A407" s="1441"/>
      <c r="B407" s="969" t="s">
        <v>73</v>
      </c>
      <c r="C407" s="970">
        <f t="shared" si="65"/>
        <v>50</v>
      </c>
      <c r="D407" s="970">
        <v>0</v>
      </c>
      <c r="E407" s="971">
        <v>0</v>
      </c>
      <c r="F407" s="972">
        <v>50</v>
      </c>
      <c r="G407" s="973">
        <v>0</v>
      </c>
      <c r="H407" s="970">
        <v>0</v>
      </c>
      <c r="I407" s="970">
        <v>0</v>
      </c>
      <c r="J407" s="974">
        <v>0</v>
      </c>
      <c r="K407" s="1420"/>
    </row>
    <row r="408" spans="1:11" x14ac:dyDescent="0.15">
      <c r="A408" s="1440" t="s">
        <v>462</v>
      </c>
      <c r="B408" s="963" t="s">
        <v>72</v>
      </c>
      <c r="C408" s="1072">
        <f t="shared" si="65"/>
        <v>25</v>
      </c>
      <c r="D408" s="964">
        <v>0</v>
      </c>
      <c r="E408" s="965">
        <v>0</v>
      </c>
      <c r="F408" s="966">
        <v>25</v>
      </c>
      <c r="G408" s="967">
        <v>0</v>
      </c>
      <c r="H408" s="964">
        <v>0</v>
      </c>
      <c r="I408" s="964">
        <v>0</v>
      </c>
      <c r="J408" s="968">
        <v>0</v>
      </c>
      <c r="K408" s="1420" t="s">
        <v>348</v>
      </c>
    </row>
    <row r="409" spans="1:11" x14ac:dyDescent="0.15">
      <c r="A409" s="1441"/>
      <c r="B409" s="969" t="s">
        <v>73</v>
      </c>
      <c r="C409" s="970">
        <f t="shared" si="65"/>
        <v>25</v>
      </c>
      <c r="D409" s="970">
        <v>0</v>
      </c>
      <c r="E409" s="971">
        <v>0</v>
      </c>
      <c r="F409" s="972">
        <v>25</v>
      </c>
      <c r="G409" s="973">
        <v>0</v>
      </c>
      <c r="H409" s="970">
        <v>0</v>
      </c>
      <c r="I409" s="970">
        <v>0</v>
      </c>
      <c r="J409" s="974">
        <v>0</v>
      </c>
      <c r="K409" s="1420"/>
    </row>
    <row r="410" spans="1:11" x14ac:dyDescent="0.15">
      <c r="A410" s="1440" t="s">
        <v>463</v>
      </c>
      <c r="B410" s="963" t="s">
        <v>72</v>
      </c>
      <c r="C410" s="1072">
        <f t="shared" si="65"/>
        <v>89</v>
      </c>
      <c r="D410" s="964">
        <v>0</v>
      </c>
      <c r="E410" s="964">
        <v>0</v>
      </c>
      <c r="F410" s="966">
        <v>89</v>
      </c>
      <c r="G410" s="967">
        <v>0</v>
      </c>
      <c r="H410" s="964">
        <v>0</v>
      </c>
      <c r="I410" s="964">
        <v>0</v>
      </c>
      <c r="J410" s="968">
        <v>0</v>
      </c>
      <c r="K410" s="1420" t="s">
        <v>348</v>
      </c>
    </row>
    <row r="411" spans="1:11" x14ac:dyDescent="0.15">
      <c r="A411" s="1441"/>
      <c r="B411" s="969" t="s">
        <v>73</v>
      </c>
      <c r="C411" s="970">
        <f t="shared" si="65"/>
        <v>89</v>
      </c>
      <c r="D411" s="970">
        <v>0</v>
      </c>
      <c r="E411" s="970">
        <v>0</v>
      </c>
      <c r="F411" s="972">
        <v>89</v>
      </c>
      <c r="G411" s="973">
        <v>0</v>
      </c>
      <c r="H411" s="970">
        <v>0</v>
      </c>
      <c r="I411" s="970">
        <v>0</v>
      </c>
      <c r="J411" s="974">
        <v>0</v>
      </c>
      <c r="K411" s="1420"/>
    </row>
    <row r="412" spans="1:11" hidden="1" x14ac:dyDescent="0.15">
      <c r="A412" s="1446" t="s">
        <v>464</v>
      </c>
      <c r="B412" s="963" t="s">
        <v>72</v>
      </c>
      <c r="C412" s="1072">
        <f t="shared" si="65"/>
        <v>0</v>
      </c>
      <c r="D412" s="964">
        <v>0</v>
      </c>
      <c r="E412" s="965">
        <v>0</v>
      </c>
      <c r="F412" s="966"/>
      <c r="G412" s="967">
        <v>0</v>
      </c>
      <c r="H412" s="964">
        <v>0</v>
      </c>
      <c r="I412" s="964">
        <v>0</v>
      </c>
      <c r="J412" s="968">
        <v>0</v>
      </c>
      <c r="K412" s="1420" t="s">
        <v>348</v>
      </c>
    </row>
    <row r="413" spans="1:11" hidden="1" x14ac:dyDescent="0.15">
      <c r="A413" s="1447"/>
      <c r="B413" s="969" t="s">
        <v>73</v>
      </c>
      <c r="C413" s="970">
        <f t="shared" si="65"/>
        <v>0</v>
      </c>
      <c r="D413" s="970">
        <v>0</v>
      </c>
      <c r="E413" s="971">
        <v>0</v>
      </c>
      <c r="F413" s="972"/>
      <c r="G413" s="973">
        <v>0</v>
      </c>
      <c r="H413" s="970">
        <v>0</v>
      </c>
      <c r="I413" s="970">
        <v>0</v>
      </c>
      <c r="J413" s="974">
        <v>0</v>
      </c>
      <c r="K413" s="1420"/>
    </row>
    <row r="414" spans="1:11" x14ac:dyDescent="0.15">
      <c r="A414" s="1417" t="s">
        <v>465</v>
      </c>
      <c r="B414" s="963" t="s">
        <v>72</v>
      </c>
      <c r="C414" s="1072">
        <f t="shared" si="65"/>
        <v>25</v>
      </c>
      <c r="D414" s="964">
        <v>0</v>
      </c>
      <c r="E414" s="965">
        <v>0</v>
      </c>
      <c r="F414" s="966">
        <v>25</v>
      </c>
      <c r="G414" s="967">
        <v>0</v>
      </c>
      <c r="H414" s="964">
        <v>0</v>
      </c>
      <c r="I414" s="964">
        <v>0</v>
      </c>
      <c r="J414" s="968">
        <v>0</v>
      </c>
      <c r="K414" s="1420" t="s">
        <v>348</v>
      </c>
    </row>
    <row r="415" spans="1:11" x14ac:dyDescent="0.15">
      <c r="A415" s="1418"/>
      <c r="B415" s="969" t="s">
        <v>73</v>
      </c>
      <c r="C415" s="970">
        <f t="shared" si="65"/>
        <v>25</v>
      </c>
      <c r="D415" s="970">
        <v>0</v>
      </c>
      <c r="E415" s="971">
        <v>0</v>
      </c>
      <c r="F415" s="972">
        <v>25</v>
      </c>
      <c r="G415" s="973">
        <v>0</v>
      </c>
      <c r="H415" s="970">
        <v>0</v>
      </c>
      <c r="I415" s="970">
        <v>0</v>
      </c>
      <c r="J415" s="974">
        <v>0</v>
      </c>
      <c r="K415" s="1420"/>
    </row>
    <row r="416" spans="1:11" x14ac:dyDescent="0.15">
      <c r="A416" s="1417" t="s">
        <v>466</v>
      </c>
      <c r="B416" s="963" t="s">
        <v>72</v>
      </c>
      <c r="C416" s="1072">
        <f t="shared" si="65"/>
        <v>25</v>
      </c>
      <c r="D416" s="964">
        <v>0</v>
      </c>
      <c r="E416" s="965">
        <v>0</v>
      </c>
      <c r="F416" s="966">
        <v>25</v>
      </c>
      <c r="G416" s="967">
        <v>0</v>
      </c>
      <c r="H416" s="964">
        <v>0</v>
      </c>
      <c r="I416" s="964">
        <v>0</v>
      </c>
      <c r="J416" s="968">
        <v>0</v>
      </c>
      <c r="K416" s="1420" t="s">
        <v>348</v>
      </c>
    </row>
    <row r="417" spans="1:11" x14ac:dyDescent="0.15">
      <c r="A417" s="1418"/>
      <c r="B417" s="969" t="s">
        <v>73</v>
      </c>
      <c r="C417" s="970">
        <f t="shared" si="65"/>
        <v>25</v>
      </c>
      <c r="D417" s="970">
        <v>0</v>
      </c>
      <c r="E417" s="971">
        <v>0</v>
      </c>
      <c r="F417" s="972">
        <v>25</v>
      </c>
      <c r="G417" s="973">
        <v>0</v>
      </c>
      <c r="H417" s="970">
        <v>0</v>
      </c>
      <c r="I417" s="970">
        <v>0</v>
      </c>
      <c r="J417" s="974">
        <v>0</v>
      </c>
      <c r="K417" s="1420"/>
    </row>
    <row r="418" spans="1:11" x14ac:dyDescent="0.15">
      <c r="A418" s="1417" t="s">
        <v>467</v>
      </c>
      <c r="B418" s="963" t="s">
        <v>72</v>
      </c>
      <c r="C418" s="1072">
        <f t="shared" si="65"/>
        <v>623</v>
      </c>
      <c r="D418" s="964">
        <v>0</v>
      </c>
      <c r="E418" s="965">
        <v>0</v>
      </c>
      <c r="F418" s="966">
        <f>2403-1780</f>
        <v>623</v>
      </c>
      <c r="G418" s="967">
        <v>0</v>
      </c>
      <c r="H418" s="964">
        <v>0</v>
      </c>
      <c r="I418" s="964">
        <v>0</v>
      </c>
      <c r="J418" s="968">
        <v>0</v>
      </c>
      <c r="K418" s="1420" t="s">
        <v>348</v>
      </c>
    </row>
    <row r="419" spans="1:11" x14ac:dyDescent="0.15">
      <c r="A419" s="1418"/>
      <c r="B419" s="969" t="s">
        <v>73</v>
      </c>
      <c r="C419" s="970">
        <f t="shared" si="65"/>
        <v>623</v>
      </c>
      <c r="D419" s="970">
        <v>0</v>
      </c>
      <c r="E419" s="971">
        <v>0</v>
      </c>
      <c r="F419" s="972">
        <f>2403-1780</f>
        <v>623</v>
      </c>
      <c r="G419" s="973">
        <v>0</v>
      </c>
      <c r="H419" s="970">
        <v>0</v>
      </c>
      <c r="I419" s="970">
        <v>0</v>
      </c>
      <c r="J419" s="974">
        <v>0</v>
      </c>
      <c r="K419" s="1420"/>
    </row>
    <row r="420" spans="1:11" x14ac:dyDescent="0.15">
      <c r="A420" s="1417" t="s">
        <v>464</v>
      </c>
      <c r="B420" s="963" t="s">
        <v>72</v>
      </c>
      <c r="C420" s="1072">
        <f t="shared" si="65"/>
        <v>2190</v>
      </c>
      <c r="D420" s="964">
        <v>0</v>
      </c>
      <c r="E420" s="965">
        <v>0</v>
      </c>
      <c r="F420" s="966">
        <f>2244-36-10-8</f>
        <v>2190</v>
      </c>
      <c r="G420" s="967">
        <v>0</v>
      </c>
      <c r="H420" s="964">
        <v>0</v>
      </c>
      <c r="I420" s="964">
        <v>0</v>
      </c>
      <c r="J420" s="968">
        <v>0</v>
      </c>
      <c r="K420" s="1420" t="s">
        <v>348</v>
      </c>
    </row>
    <row r="421" spans="1:11" x14ac:dyDescent="0.15">
      <c r="A421" s="1418"/>
      <c r="B421" s="969" t="s">
        <v>73</v>
      </c>
      <c r="C421" s="970">
        <f t="shared" si="65"/>
        <v>2190</v>
      </c>
      <c r="D421" s="970">
        <v>0</v>
      </c>
      <c r="E421" s="971">
        <v>0</v>
      </c>
      <c r="F421" s="972">
        <f>2244-36-10-8</f>
        <v>2190</v>
      </c>
      <c r="G421" s="973">
        <v>0</v>
      </c>
      <c r="H421" s="970">
        <v>0</v>
      </c>
      <c r="I421" s="970">
        <v>0</v>
      </c>
      <c r="J421" s="974">
        <v>0</v>
      </c>
      <c r="K421" s="1420"/>
    </row>
    <row r="422" spans="1:11" x14ac:dyDescent="0.15">
      <c r="A422" s="993" t="s">
        <v>342</v>
      </c>
      <c r="B422" s="875" t="s">
        <v>72</v>
      </c>
      <c r="C422" s="1036">
        <f t="shared" si="65"/>
        <v>71774.38</v>
      </c>
      <c r="D422" s="1036">
        <f t="shared" ref="D422:J423" si="66">D424+D426+D428+D430+D432+D438+D440+D442+D444+D446+D448+D450+D452+D454+D456+D458+D460+D462+D464+D466+D468+D434+D436+D470+D472+D474+D476+D478+D480+D482+D484+D486+D488+D490+D492+D494+D496+D498+D500+D502</f>
        <v>21272.02</v>
      </c>
      <c r="E422" s="1037">
        <f t="shared" si="66"/>
        <v>15142.42</v>
      </c>
      <c r="F422" s="1038">
        <f t="shared" si="66"/>
        <v>1416</v>
      </c>
      <c r="G422" s="1039">
        <f t="shared" si="66"/>
        <v>14891.27</v>
      </c>
      <c r="H422" s="1036">
        <f t="shared" si="66"/>
        <v>10778.48</v>
      </c>
      <c r="I422" s="1036">
        <f t="shared" si="66"/>
        <v>8274.19</v>
      </c>
      <c r="J422" s="1040">
        <f t="shared" si="66"/>
        <v>0</v>
      </c>
    </row>
    <row r="423" spans="1:11" x14ac:dyDescent="0.15">
      <c r="A423" s="994" t="s">
        <v>330</v>
      </c>
      <c r="B423" s="995" t="s">
        <v>73</v>
      </c>
      <c r="C423" s="1051">
        <f>D423+E423+F423+G423+H423+I423+J423</f>
        <v>71774.38</v>
      </c>
      <c r="D423" s="1051">
        <f t="shared" si="66"/>
        <v>21272.02</v>
      </c>
      <c r="E423" s="1052">
        <f t="shared" si="66"/>
        <v>15142.42</v>
      </c>
      <c r="F423" s="1053">
        <f t="shared" si="66"/>
        <v>1416</v>
      </c>
      <c r="G423" s="1054">
        <f t="shared" si="66"/>
        <v>14891.27</v>
      </c>
      <c r="H423" s="1051">
        <f t="shared" si="66"/>
        <v>10778.48</v>
      </c>
      <c r="I423" s="1051">
        <f t="shared" si="66"/>
        <v>8274.19</v>
      </c>
      <c r="J423" s="1055">
        <f t="shared" si="66"/>
        <v>0</v>
      </c>
    </row>
    <row r="424" spans="1:11" x14ac:dyDescent="0.15">
      <c r="A424" s="1417" t="s">
        <v>468</v>
      </c>
      <c r="B424" s="963" t="s">
        <v>72</v>
      </c>
      <c r="C424" s="1077">
        <f t="shared" ref="C424:C511" si="67">D424+E424+F424+G424+H424+I424+J424</f>
        <v>0</v>
      </c>
      <c r="D424" s="964">
        <v>0</v>
      </c>
      <c r="E424" s="965">
        <v>0</v>
      </c>
      <c r="F424" s="966">
        <v>0</v>
      </c>
      <c r="G424" s="967">
        <v>0</v>
      </c>
      <c r="H424" s="964">
        <v>0</v>
      </c>
      <c r="I424" s="964">
        <v>0</v>
      </c>
      <c r="J424" s="968">
        <v>0</v>
      </c>
      <c r="K424" s="1420" t="s">
        <v>348</v>
      </c>
    </row>
    <row r="425" spans="1:11" x14ac:dyDescent="0.15">
      <c r="A425" s="1418"/>
      <c r="B425" s="1003" t="s">
        <v>73</v>
      </c>
      <c r="C425" s="1004">
        <f t="shared" si="67"/>
        <v>0</v>
      </c>
      <c r="D425" s="1004">
        <v>0</v>
      </c>
      <c r="E425" s="1005">
        <v>0</v>
      </c>
      <c r="F425" s="1006">
        <v>0</v>
      </c>
      <c r="G425" s="1007">
        <v>0</v>
      </c>
      <c r="H425" s="1004">
        <v>0</v>
      </c>
      <c r="I425" s="1004">
        <v>0</v>
      </c>
      <c r="J425" s="1008">
        <v>0</v>
      </c>
      <c r="K425" s="1420"/>
    </row>
    <row r="426" spans="1:11" ht="13.5" customHeight="1" x14ac:dyDescent="0.15">
      <c r="A426" s="1417" t="s">
        <v>469</v>
      </c>
      <c r="B426" s="963" t="s">
        <v>72</v>
      </c>
      <c r="C426" s="964">
        <f t="shared" si="67"/>
        <v>0</v>
      </c>
      <c r="D426" s="964">
        <v>0</v>
      </c>
      <c r="E426" s="965">
        <v>0</v>
      </c>
      <c r="F426" s="966">
        <v>0</v>
      </c>
      <c r="G426" s="967">
        <v>0</v>
      </c>
      <c r="H426" s="964">
        <v>0</v>
      </c>
      <c r="I426" s="964">
        <v>0</v>
      </c>
      <c r="J426" s="968">
        <v>0</v>
      </c>
      <c r="K426" s="1420" t="s">
        <v>348</v>
      </c>
    </row>
    <row r="427" spans="1:11" x14ac:dyDescent="0.15">
      <c r="A427" s="1418"/>
      <c r="B427" s="1003" t="s">
        <v>73</v>
      </c>
      <c r="C427" s="1004">
        <f t="shared" si="67"/>
        <v>0</v>
      </c>
      <c r="D427" s="1004">
        <v>0</v>
      </c>
      <c r="E427" s="1005">
        <v>0</v>
      </c>
      <c r="F427" s="1006">
        <v>0</v>
      </c>
      <c r="G427" s="1007">
        <v>0</v>
      </c>
      <c r="H427" s="1004">
        <v>0</v>
      </c>
      <c r="I427" s="1004">
        <v>0</v>
      </c>
      <c r="J427" s="1008">
        <v>0</v>
      </c>
      <c r="K427" s="1420"/>
    </row>
    <row r="428" spans="1:11" x14ac:dyDescent="0.15">
      <c r="A428" s="1417" t="s">
        <v>470</v>
      </c>
      <c r="B428" s="1081" t="s">
        <v>72</v>
      </c>
      <c r="C428" s="964">
        <f t="shared" si="67"/>
        <v>0</v>
      </c>
      <c r="D428" s="964">
        <v>0</v>
      </c>
      <c r="E428" s="965">
        <v>0</v>
      </c>
      <c r="F428" s="966">
        <v>0</v>
      </c>
      <c r="G428" s="967">
        <v>0</v>
      </c>
      <c r="H428" s="964">
        <v>0</v>
      </c>
      <c r="I428" s="964">
        <v>0</v>
      </c>
      <c r="J428" s="968">
        <v>0</v>
      </c>
      <c r="K428" s="1420" t="s">
        <v>348</v>
      </c>
    </row>
    <row r="429" spans="1:11" x14ac:dyDescent="0.15">
      <c r="A429" s="1418"/>
      <c r="B429" s="1003" t="s">
        <v>73</v>
      </c>
      <c r="C429" s="1004">
        <f t="shared" si="67"/>
        <v>0</v>
      </c>
      <c r="D429" s="1004">
        <v>0</v>
      </c>
      <c r="E429" s="1005">
        <v>0</v>
      </c>
      <c r="F429" s="1006">
        <v>0</v>
      </c>
      <c r="G429" s="1007">
        <v>0</v>
      </c>
      <c r="H429" s="1004">
        <v>0</v>
      </c>
      <c r="I429" s="1004">
        <v>0</v>
      </c>
      <c r="J429" s="1008">
        <v>0</v>
      </c>
      <c r="K429" s="1420"/>
    </row>
    <row r="430" spans="1:11" x14ac:dyDescent="0.15">
      <c r="A430" s="1417" t="s">
        <v>471</v>
      </c>
      <c r="B430" s="963" t="s">
        <v>72</v>
      </c>
      <c r="C430" s="1077">
        <f t="shared" si="67"/>
        <v>1746.96</v>
      </c>
      <c r="D430" s="964">
        <v>496.96</v>
      </c>
      <c r="E430" s="965">
        <v>250</v>
      </c>
      <c r="F430" s="966">
        <v>76</v>
      </c>
      <c r="G430" s="967">
        <v>300</v>
      </c>
      <c r="H430" s="964">
        <v>300</v>
      </c>
      <c r="I430" s="964">
        <v>324</v>
      </c>
      <c r="J430" s="968">
        <v>0</v>
      </c>
      <c r="K430" s="1420" t="s">
        <v>348</v>
      </c>
    </row>
    <row r="431" spans="1:11" x14ac:dyDescent="0.15">
      <c r="A431" s="1418"/>
      <c r="B431" s="1003" t="s">
        <v>73</v>
      </c>
      <c r="C431" s="1004">
        <f t="shared" si="67"/>
        <v>1746.96</v>
      </c>
      <c r="D431" s="1004">
        <v>496.96</v>
      </c>
      <c r="E431" s="1005">
        <v>250</v>
      </c>
      <c r="F431" s="1006">
        <v>76</v>
      </c>
      <c r="G431" s="1007">
        <v>300</v>
      </c>
      <c r="H431" s="1004">
        <v>300</v>
      </c>
      <c r="I431" s="1004">
        <v>324</v>
      </c>
      <c r="J431" s="1008">
        <v>0</v>
      </c>
      <c r="K431" s="1420"/>
    </row>
    <row r="432" spans="1:11" x14ac:dyDescent="0.15">
      <c r="A432" s="1417" t="s">
        <v>472</v>
      </c>
      <c r="B432" s="963" t="s">
        <v>72</v>
      </c>
      <c r="C432" s="964">
        <f t="shared" si="67"/>
        <v>1188</v>
      </c>
      <c r="D432" s="964">
        <v>0</v>
      </c>
      <c r="E432" s="965">
        <v>0</v>
      </c>
      <c r="F432" s="966">
        <v>1188</v>
      </c>
      <c r="G432" s="967">
        <v>0</v>
      </c>
      <c r="H432" s="964">
        <v>0</v>
      </c>
      <c r="I432" s="964">
        <v>0</v>
      </c>
      <c r="J432" s="968">
        <v>0</v>
      </c>
      <c r="K432" s="1420" t="s">
        <v>348</v>
      </c>
    </row>
    <row r="433" spans="1:11" ht="12" customHeight="1" x14ac:dyDescent="0.15">
      <c r="A433" s="1418"/>
      <c r="B433" s="1003" t="s">
        <v>73</v>
      </c>
      <c r="C433" s="1004">
        <f t="shared" si="67"/>
        <v>1188</v>
      </c>
      <c r="D433" s="1004">
        <v>0</v>
      </c>
      <c r="E433" s="1005">
        <v>0</v>
      </c>
      <c r="F433" s="1006">
        <v>1188</v>
      </c>
      <c r="G433" s="1007">
        <v>0</v>
      </c>
      <c r="H433" s="1004">
        <v>0</v>
      </c>
      <c r="I433" s="1004">
        <v>0</v>
      </c>
      <c r="J433" s="1008">
        <v>0</v>
      </c>
      <c r="K433" s="1420"/>
    </row>
    <row r="434" spans="1:11" ht="11.25" customHeight="1" x14ac:dyDescent="0.15">
      <c r="A434" s="1417" t="s">
        <v>473</v>
      </c>
      <c r="B434" s="963" t="s">
        <v>72</v>
      </c>
      <c r="C434" s="1077">
        <f t="shared" si="67"/>
        <v>1526.14</v>
      </c>
      <c r="D434" s="964">
        <v>326.14</v>
      </c>
      <c r="E434" s="965">
        <v>0</v>
      </c>
      <c r="F434" s="966">
        <v>0</v>
      </c>
      <c r="G434" s="967">
        <v>0</v>
      </c>
      <c r="H434" s="964">
        <v>1200</v>
      </c>
      <c r="I434" s="964">
        <v>0</v>
      </c>
      <c r="J434" s="968">
        <v>0</v>
      </c>
      <c r="K434" s="1420" t="s">
        <v>348</v>
      </c>
    </row>
    <row r="435" spans="1:11" x14ac:dyDescent="0.15">
      <c r="A435" s="1418"/>
      <c r="B435" s="1003" t="s">
        <v>73</v>
      </c>
      <c r="C435" s="1004">
        <f t="shared" si="67"/>
        <v>1526.14</v>
      </c>
      <c r="D435" s="1004">
        <v>326.14</v>
      </c>
      <c r="E435" s="1005">
        <v>0</v>
      </c>
      <c r="F435" s="1006">
        <v>0</v>
      </c>
      <c r="G435" s="1007">
        <v>0</v>
      </c>
      <c r="H435" s="1004">
        <v>1200</v>
      </c>
      <c r="I435" s="1004">
        <v>0</v>
      </c>
      <c r="J435" s="1008">
        <v>0</v>
      </c>
      <c r="K435" s="1420"/>
    </row>
    <row r="436" spans="1:11" ht="11.25" customHeight="1" x14ac:dyDescent="0.15">
      <c r="A436" s="1417" t="s">
        <v>474</v>
      </c>
      <c r="B436" s="963" t="s">
        <v>72</v>
      </c>
      <c r="C436" s="964">
        <f t="shared" si="67"/>
        <v>303.37</v>
      </c>
      <c r="D436" s="964">
        <v>151.37</v>
      </c>
      <c r="E436" s="965">
        <v>0</v>
      </c>
      <c r="F436" s="966">
        <v>152</v>
      </c>
      <c r="G436" s="967">
        <v>0</v>
      </c>
      <c r="H436" s="964">
        <v>0</v>
      </c>
      <c r="I436" s="964">
        <v>0</v>
      </c>
      <c r="J436" s="968">
        <v>0</v>
      </c>
      <c r="K436" s="1420" t="s">
        <v>348</v>
      </c>
    </row>
    <row r="437" spans="1:11" ht="12" customHeight="1" thickBot="1" x14ac:dyDescent="0.2">
      <c r="A437" s="1449"/>
      <c r="B437" s="1082" t="s">
        <v>73</v>
      </c>
      <c r="C437" s="1083">
        <f t="shared" si="67"/>
        <v>303.37</v>
      </c>
      <c r="D437" s="1083">
        <v>151.37</v>
      </c>
      <c r="E437" s="1084">
        <v>0</v>
      </c>
      <c r="F437" s="1085">
        <v>152</v>
      </c>
      <c r="G437" s="1086">
        <v>0</v>
      </c>
      <c r="H437" s="1083">
        <v>0</v>
      </c>
      <c r="I437" s="1083">
        <v>0</v>
      </c>
      <c r="J437" s="1087">
        <v>0</v>
      </c>
      <c r="K437" s="1420"/>
    </row>
    <row r="438" spans="1:11" ht="13.5" customHeight="1" x14ac:dyDescent="0.15">
      <c r="A438" s="1436" t="s">
        <v>475</v>
      </c>
      <c r="B438" s="981" t="s">
        <v>72</v>
      </c>
      <c r="C438" s="982">
        <f t="shared" si="67"/>
        <v>4319.46</v>
      </c>
      <c r="D438" s="982">
        <v>423.46</v>
      </c>
      <c r="E438" s="983">
        <v>0</v>
      </c>
      <c r="F438" s="984">
        <v>0</v>
      </c>
      <c r="G438" s="985">
        <v>1800</v>
      </c>
      <c r="H438" s="982">
        <v>1196</v>
      </c>
      <c r="I438" s="982">
        <v>900</v>
      </c>
      <c r="J438" s="986">
        <v>0</v>
      </c>
      <c r="K438" s="1420" t="s">
        <v>348</v>
      </c>
    </row>
    <row r="439" spans="1:11" ht="12.75" customHeight="1" x14ac:dyDescent="0.15">
      <c r="A439" s="1437"/>
      <c r="B439" s="1088" t="s">
        <v>73</v>
      </c>
      <c r="C439" s="1089">
        <f t="shared" si="67"/>
        <v>4319.46</v>
      </c>
      <c r="D439" s="1089">
        <v>423.46</v>
      </c>
      <c r="E439" s="1090">
        <v>0</v>
      </c>
      <c r="F439" s="1091">
        <v>0</v>
      </c>
      <c r="G439" s="1092">
        <v>1800</v>
      </c>
      <c r="H439" s="1089">
        <v>1196</v>
      </c>
      <c r="I439" s="1089">
        <v>900</v>
      </c>
      <c r="J439" s="1093">
        <v>0</v>
      </c>
      <c r="K439" s="1420"/>
    </row>
    <row r="440" spans="1:11" ht="13.5" customHeight="1" x14ac:dyDescent="0.15">
      <c r="A440" s="1448" t="s">
        <v>476</v>
      </c>
      <c r="B440" s="1094" t="s">
        <v>72</v>
      </c>
      <c r="C440" s="1095">
        <f t="shared" si="67"/>
        <v>3400</v>
      </c>
      <c r="D440" s="1096">
        <v>0</v>
      </c>
      <c r="E440" s="1097">
        <v>0</v>
      </c>
      <c r="F440" s="1098">
        <v>0</v>
      </c>
      <c r="G440" s="1099">
        <v>3400</v>
      </c>
      <c r="H440" s="1096">
        <v>0</v>
      </c>
      <c r="I440" s="1096">
        <v>0</v>
      </c>
      <c r="J440" s="1100">
        <v>0</v>
      </c>
      <c r="K440" s="1420" t="s">
        <v>348</v>
      </c>
    </row>
    <row r="441" spans="1:11" ht="13.5" customHeight="1" x14ac:dyDescent="0.15">
      <c r="A441" s="1437"/>
      <c r="B441" s="1088" t="s">
        <v>73</v>
      </c>
      <c r="C441" s="1089">
        <f t="shared" si="67"/>
        <v>3400</v>
      </c>
      <c r="D441" s="1089">
        <v>0</v>
      </c>
      <c r="E441" s="1090">
        <v>0</v>
      </c>
      <c r="F441" s="1091">
        <v>0</v>
      </c>
      <c r="G441" s="1092">
        <v>3400</v>
      </c>
      <c r="H441" s="1089">
        <v>0</v>
      </c>
      <c r="I441" s="1089">
        <v>0</v>
      </c>
      <c r="J441" s="1093">
        <v>0</v>
      </c>
      <c r="K441" s="1420"/>
    </row>
    <row r="442" spans="1:11" ht="14.25" customHeight="1" x14ac:dyDescent="0.15">
      <c r="A442" s="1448" t="s">
        <v>477</v>
      </c>
      <c r="B442" s="1094" t="s">
        <v>72</v>
      </c>
      <c r="C442" s="1096">
        <f t="shared" si="67"/>
        <v>2583.61</v>
      </c>
      <c r="D442" s="1096">
        <v>2583.61</v>
      </c>
      <c r="E442" s="1097">
        <v>0</v>
      </c>
      <c r="F442" s="1098">
        <v>0</v>
      </c>
      <c r="G442" s="1099">
        <v>0</v>
      </c>
      <c r="H442" s="1096">
        <v>0</v>
      </c>
      <c r="I442" s="1096">
        <v>0</v>
      </c>
      <c r="J442" s="1100">
        <v>0</v>
      </c>
      <c r="K442" s="1420" t="s">
        <v>348</v>
      </c>
    </row>
    <row r="443" spans="1:11" ht="12.75" customHeight="1" x14ac:dyDescent="0.15">
      <c r="A443" s="1437"/>
      <c r="B443" s="1088" t="s">
        <v>73</v>
      </c>
      <c r="C443" s="1089">
        <f t="shared" si="67"/>
        <v>2583.61</v>
      </c>
      <c r="D443" s="1089">
        <v>2583.61</v>
      </c>
      <c r="E443" s="1090">
        <v>0</v>
      </c>
      <c r="F443" s="1091">
        <v>0</v>
      </c>
      <c r="G443" s="1092">
        <v>0</v>
      </c>
      <c r="H443" s="1089">
        <v>0</v>
      </c>
      <c r="I443" s="1089">
        <v>0</v>
      </c>
      <c r="J443" s="1093">
        <v>0</v>
      </c>
      <c r="K443" s="1420"/>
    </row>
    <row r="444" spans="1:11" ht="13.5" customHeight="1" x14ac:dyDescent="0.15">
      <c r="A444" s="1448" t="s">
        <v>478</v>
      </c>
      <c r="B444" s="1094" t="s">
        <v>72</v>
      </c>
      <c r="C444" s="1096">
        <f t="shared" si="67"/>
        <v>300</v>
      </c>
      <c r="D444" s="1096">
        <v>59.52</v>
      </c>
      <c r="E444" s="1097">
        <v>0</v>
      </c>
      <c r="F444" s="1098">
        <v>0</v>
      </c>
      <c r="G444" s="1099">
        <v>180</v>
      </c>
      <c r="H444" s="1096">
        <v>60.48</v>
      </c>
      <c r="I444" s="1096">
        <v>0</v>
      </c>
      <c r="J444" s="1100">
        <v>0</v>
      </c>
      <c r="K444" s="1420" t="s">
        <v>348</v>
      </c>
    </row>
    <row r="445" spans="1:11" ht="15" customHeight="1" x14ac:dyDescent="0.15">
      <c r="A445" s="1437"/>
      <c r="B445" s="1088" t="s">
        <v>73</v>
      </c>
      <c r="C445" s="1089">
        <f t="shared" si="67"/>
        <v>300</v>
      </c>
      <c r="D445" s="1089">
        <v>59.52</v>
      </c>
      <c r="E445" s="1090">
        <v>0</v>
      </c>
      <c r="F445" s="1091">
        <v>0</v>
      </c>
      <c r="G445" s="1092">
        <v>180</v>
      </c>
      <c r="H445" s="1089">
        <v>60.48</v>
      </c>
      <c r="I445" s="1089">
        <v>0</v>
      </c>
      <c r="J445" s="1093">
        <v>0</v>
      </c>
      <c r="K445" s="1420"/>
    </row>
    <row r="446" spans="1:11" ht="11.25" customHeight="1" x14ac:dyDescent="0.15">
      <c r="A446" s="1448" t="s">
        <v>479</v>
      </c>
      <c r="B446" s="1094" t="s">
        <v>72</v>
      </c>
      <c r="C446" s="1095">
        <f t="shared" si="67"/>
        <v>8795</v>
      </c>
      <c r="D446" s="1096">
        <v>0</v>
      </c>
      <c r="E446" s="1097">
        <v>0</v>
      </c>
      <c r="F446" s="1098">
        <v>0</v>
      </c>
      <c r="G446" s="1099">
        <v>2250</v>
      </c>
      <c r="H446" s="1096">
        <v>4295</v>
      </c>
      <c r="I446" s="1096">
        <v>2250</v>
      </c>
      <c r="J446" s="1100">
        <v>0</v>
      </c>
      <c r="K446" s="1420" t="s">
        <v>348</v>
      </c>
    </row>
    <row r="447" spans="1:11" ht="11.25" customHeight="1" x14ac:dyDescent="0.15">
      <c r="A447" s="1437"/>
      <c r="B447" s="1088" t="s">
        <v>73</v>
      </c>
      <c r="C447" s="1089">
        <f t="shared" si="67"/>
        <v>8795</v>
      </c>
      <c r="D447" s="1089">
        <v>0</v>
      </c>
      <c r="E447" s="1090">
        <v>0</v>
      </c>
      <c r="F447" s="1091">
        <v>0</v>
      </c>
      <c r="G447" s="1092">
        <v>2250</v>
      </c>
      <c r="H447" s="1089">
        <v>4295</v>
      </c>
      <c r="I447" s="1089">
        <v>2250</v>
      </c>
      <c r="J447" s="1093">
        <v>0</v>
      </c>
      <c r="K447" s="1420"/>
    </row>
    <row r="448" spans="1:11" ht="12.75" customHeight="1" x14ac:dyDescent="0.15">
      <c r="A448" s="1448" t="s">
        <v>480</v>
      </c>
      <c r="B448" s="1094" t="s">
        <v>72</v>
      </c>
      <c r="C448" s="1096">
        <f t="shared" si="67"/>
        <v>4762.6000000000004</v>
      </c>
      <c r="D448" s="1096">
        <v>1536.87</v>
      </c>
      <c r="E448" s="1097">
        <v>0</v>
      </c>
      <c r="F448" s="1098">
        <v>0</v>
      </c>
      <c r="G448" s="1099">
        <v>800</v>
      </c>
      <c r="H448" s="1096">
        <v>800</v>
      </c>
      <c r="I448" s="1096">
        <v>1625.73</v>
      </c>
      <c r="J448" s="1100">
        <v>0</v>
      </c>
      <c r="K448" s="1420" t="s">
        <v>348</v>
      </c>
    </row>
    <row r="449" spans="1:11" ht="11.25" customHeight="1" x14ac:dyDescent="0.15">
      <c r="A449" s="1437"/>
      <c r="B449" s="1088" t="s">
        <v>73</v>
      </c>
      <c r="C449" s="1089">
        <f t="shared" si="67"/>
        <v>4762.6000000000004</v>
      </c>
      <c r="D449" s="1089">
        <v>1536.87</v>
      </c>
      <c r="E449" s="1090">
        <v>0</v>
      </c>
      <c r="F449" s="1091">
        <v>0</v>
      </c>
      <c r="G449" s="1092">
        <v>800</v>
      </c>
      <c r="H449" s="1089">
        <v>800</v>
      </c>
      <c r="I449" s="1089">
        <v>1625.73</v>
      </c>
      <c r="J449" s="1093">
        <v>0</v>
      </c>
      <c r="K449" s="1420"/>
    </row>
    <row r="450" spans="1:11" ht="12.75" customHeight="1" x14ac:dyDescent="0.15">
      <c r="A450" s="1448" t="s">
        <v>481</v>
      </c>
      <c r="B450" s="1094" t="s">
        <v>72</v>
      </c>
      <c r="C450" s="1096">
        <f t="shared" si="67"/>
        <v>185</v>
      </c>
      <c r="D450" s="1096">
        <v>20</v>
      </c>
      <c r="E450" s="1097">
        <v>125</v>
      </c>
      <c r="F450" s="1098">
        <v>0</v>
      </c>
      <c r="G450" s="1099">
        <v>40</v>
      </c>
      <c r="H450" s="1096">
        <v>0</v>
      </c>
      <c r="I450" s="1096">
        <v>0</v>
      </c>
      <c r="J450" s="1100">
        <v>0</v>
      </c>
      <c r="K450" s="1420" t="s">
        <v>348</v>
      </c>
    </row>
    <row r="451" spans="1:11" ht="13.5" customHeight="1" x14ac:dyDescent="0.15">
      <c r="A451" s="1437"/>
      <c r="B451" s="1088" t="s">
        <v>73</v>
      </c>
      <c r="C451" s="1089">
        <f t="shared" si="67"/>
        <v>185</v>
      </c>
      <c r="D451" s="1089">
        <v>20</v>
      </c>
      <c r="E451" s="1090">
        <v>125</v>
      </c>
      <c r="F451" s="1091">
        <v>0</v>
      </c>
      <c r="G451" s="1092">
        <v>40</v>
      </c>
      <c r="H451" s="1089">
        <v>0</v>
      </c>
      <c r="I451" s="1089">
        <v>0</v>
      </c>
      <c r="J451" s="1093">
        <v>0</v>
      </c>
      <c r="K451" s="1420"/>
    </row>
    <row r="452" spans="1:11" x14ac:dyDescent="0.15">
      <c r="A452" s="1448" t="s">
        <v>481</v>
      </c>
      <c r="B452" s="1094" t="s">
        <v>72</v>
      </c>
      <c r="C452" s="1095">
        <f t="shared" si="67"/>
        <v>121.44</v>
      </c>
      <c r="D452" s="1096">
        <v>121.44</v>
      </c>
      <c r="E452" s="1097">
        <v>0</v>
      </c>
      <c r="F452" s="1098">
        <v>0</v>
      </c>
      <c r="G452" s="1099">
        <v>0</v>
      </c>
      <c r="H452" s="1096">
        <v>0</v>
      </c>
      <c r="I452" s="1096">
        <v>0</v>
      </c>
      <c r="J452" s="1100">
        <v>0</v>
      </c>
      <c r="K452" s="1420" t="s">
        <v>348</v>
      </c>
    </row>
    <row r="453" spans="1:11" x14ac:dyDescent="0.15">
      <c r="A453" s="1437"/>
      <c r="B453" s="1088" t="s">
        <v>73</v>
      </c>
      <c r="C453" s="1089">
        <f t="shared" si="67"/>
        <v>121.44</v>
      </c>
      <c r="D453" s="1089">
        <v>121.44</v>
      </c>
      <c r="E453" s="1090">
        <v>0</v>
      </c>
      <c r="F453" s="1091">
        <v>0</v>
      </c>
      <c r="G453" s="1092">
        <v>0</v>
      </c>
      <c r="H453" s="1089">
        <v>0</v>
      </c>
      <c r="I453" s="1089">
        <v>0</v>
      </c>
      <c r="J453" s="1093">
        <v>0</v>
      </c>
      <c r="K453" s="1420"/>
    </row>
    <row r="454" spans="1:11" x14ac:dyDescent="0.15">
      <c r="A454" s="1448" t="s">
        <v>482</v>
      </c>
      <c r="B454" s="1094" t="s">
        <v>72</v>
      </c>
      <c r="C454" s="1096">
        <f t="shared" si="67"/>
        <v>249.74</v>
      </c>
      <c r="D454" s="1096">
        <v>249.74</v>
      </c>
      <c r="E454" s="1097">
        <v>0</v>
      </c>
      <c r="F454" s="1098">
        <v>0</v>
      </c>
      <c r="G454" s="1099">
        <v>0</v>
      </c>
      <c r="H454" s="1096">
        <v>0</v>
      </c>
      <c r="I454" s="1096">
        <v>0</v>
      </c>
      <c r="J454" s="1100">
        <v>0</v>
      </c>
      <c r="K454" s="1420" t="s">
        <v>348</v>
      </c>
    </row>
    <row r="455" spans="1:11" x14ac:dyDescent="0.15">
      <c r="A455" s="1437"/>
      <c r="B455" s="1088" t="s">
        <v>73</v>
      </c>
      <c r="C455" s="1089">
        <f t="shared" si="67"/>
        <v>249.74</v>
      </c>
      <c r="D455" s="1089">
        <v>249.74</v>
      </c>
      <c r="E455" s="1090">
        <v>0</v>
      </c>
      <c r="F455" s="1091">
        <v>0</v>
      </c>
      <c r="G455" s="1092">
        <v>0</v>
      </c>
      <c r="H455" s="1089">
        <v>0</v>
      </c>
      <c r="I455" s="1089">
        <v>0</v>
      </c>
      <c r="J455" s="1093">
        <v>0</v>
      </c>
      <c r="K455" s="1420"/>
    </row>
    <row r="456" spans="1:11" x14ac:dyDescent="0.15">
      <c r="A456" s="1448" t="s">
        <v>483</v>
      </c>
      <c r="B456" s="1094" t="s">
        <v>72</v>
      </c>
      <c r="C456" s="1096">
        <f t="shared" si="67"/>
        <v>599.30999999999995</v>
      </c>
      <c r="D456" s="1096">
        <v>85.31</v>
      </c>
      <c r="E456" s="1097">
        <v>0</v>
      </c>
      <c r="F456" s="1098">
        <v>0</v>
      </c>
      <c r="G456" s="1099">
        <v>200</v>
      </c>
      <c r="H456" s="1096">
        <v>100</v>
      </c>
      <c r="I456" s="1096">
        <v>214</v>
      </c>
      <c r="J456" s="1100">
        <v>0</v>
      </c>
      <c r="K456" s="1450" t="s">
        <v>484</v>
      </c>
    </row>
    <row r="457" spans="1:11" x14ac:dyDescent="0.15">
      <c r="A457" s="1437"/>
      <c r="B457" s="1088" t="s">
        <v>73</v>
      </c>
      <c r="C457" s="1089">
        <f t="shared" si="67"/>
        <v>599.30999999999995</v>
      </c>
      <c r="D457" s="1089">
        <v>85.31</v>
      </c>
      <c r="E457" s="1090">
        <v>0</v>
      </c>
      <c r="F457" s="1091">
        <v>0</v>
      </c>
      <c r="G457" s="1092">
        <v>200</v>
      </c>
      <c r="H457" s="1089">
        <v>100</v>
      </c>
      <c r="I457" s="1089">
        <v>214</v>
      </c>
      <c r="J457" s="1093">
        <v>0</v>
      </c>
      <c r="K457" s="1450"/>
    </row>
    <row r="458" spans="1:11" x14ac:dyDescent="0.15">
      <c r="A458" s="1448" t="s">
        <v>485</v>
      </c>
      <c r="B458" s="1094" t="s">
        <v>72</v>
      </c>
      <c r="C458" s="1095">
        <f t="shared" si="67"/>
        <v>209.44</v>
      </c>
      <c r="D458" s="1096">
        <v>69.44</v>
      </c>
      <c r="E458" s="1097">
        <v>0</v>
      </c>
      <c r="F458" s="1098">
        <v>0</v>
      </c>
      <c r="G458" s="1099">
        <v>70</v>
      </c>
      <c r="H458" s="1096">
        <v>35</v>
      </c>
      <c r="I458" s="1096">
        <v>35</v>
      </c>
      <c r="J458" s="1100">
        <v>0</v>
      </c>
      <c r="K458" s="1420" t="s">
        <v>348</v>
      </c>
    </row>
    <row r="459" spans="1:11" x14ac:dyDescent="0.15">
      <c r="A459" s="1437"/>
      <c r="B459" s="1088" t="s">
        <v>73</v>
      </c>
      <c r="C459" s="1089">
        <f t="shared" si="67"/>
        <v>209.44</v>
      </c>
      <c r="D459" s="1089">
        <v>69.44</v>
      </c>
      <c r="E459" s="1090">
        <v>0</v>
      </c>
      <c r="F459" s="1091">
        <v>0</v>
      </c>
      <c r="G459" s="1092">
        <v>70</v>
      </c>
      <c r="H459" s="1089">
        <v>35</v>
      </c>
      <c r="I459" s="1089">
        <v>35</v>
      </c>
      <c r="J459" s="1093">
        <v>0</v>
      </c>
      <c r="K459" s="1420"/>
    </row>
    <row r="460" spans="1:11" x14ac:dyDescent="0.15">
      <c r="A460" s="1448" t="s">
        <v>486</v>
      </c>
      <c r="B460" s="1094" t="s">
        <v>72</v>
      </c>
      <c r="C460" s="1096">
        <f t="shared" si="67"/>
        <v>3499.54</v>
      </c>
      <c r="D460" s="1096">
        <v>701.54</v>
      </c>
      <c r="E460" s="1097">
        <v>0</v>
      </c>
      <c r="F460" s="1098">
        <v>0</v>
      </c>
      <c r="G460" s="1099">
        <v>875</v>
      </c>
      <c r="H460" s="1096">
        <v>875</v>
      </c>
      <c r="I460" s="1096">
        <v>1048</v>
      </c>
      <c r="J460" s="1100">
        <v>0</v>
      </c>
      <c r="K460" s="1420" t="s">
        <v>348</v>
      </c>
    </row>
    <row r="461" spans="1:11" x14ac:dyDescent="0.15">
      <c r="A461" s="1437"/>
      <c r="B461" s="1088" t="s">
        <v>73</v>
      </c>
      <c r="C461" s="1089">
        <f t="shared" si="67"/>
        <v>3499.54</v>
      </c>
      <c r="D461" s="1089">
        <v>701.54</v>
      </c>
      <c r="E461" s="1090">
        <v>0</v>
      </c>
      <c r="F461" s="1091">
        <v>0</v>
      </c>
      <c r="G461" s="1092">
        <v>875</v>
      </c>
      <c r="H461" s="1089">
        <v>875</v>
      </c>
      <c r="I461" s="1089">
        <v>1048</v>
      </c>
      <c r="J461" s="1093">
        <v>0</v>
      </c>
      <c r="K461" s="1420"/>
    </row>
    <row r="462" spans="1:11" x14ac:dyDescent="0.15">
      <c r="A462" s="1448" t="s">
        <v>487</v>
      </c>
      <c r="B462" s="1094" t="s">
        <v>72</v>
      </c>
      <c r="C462" s="1096">
        <f t="shared" si="67"/>
        <v>200</v>
      </c>
      <c r="D462" s="1096">
        <v>98.89</v>
      </c>
      <c r="E462" s="1097">
        <v>0</v>
      </c>
      <c r="F462" s="1098">
        <v>0</v>
      </c>
      <c r="G462" s="1099">
        <v>101.11</v>
      </c>
      <c r="H462" s="1096">
        <v>0</v>
      </c>
      <c r="I462" s="1096">
        <v>0</v>
      </c>
      <c r="J462" s="1100">
        <v>0</v>
      </c>
      <c r="K462" s="1420" t="s">
        <v>348</v>
      </c>
    </row>
    <row r="463" spans="1:11" x14ac:dyDescent="0.15">
      <c r="A463" s="1437"/>
      <c r="B463" s="1088" t="s">
        <v>73</v>
      </c>
      <c r="C463" s="1089">
        <f t="shared" si="67"/>
        <v>200</v>
      </c>
      <c r="D463" s="1089">
        <v>98.89</v>
      </c>
      <c r="E463" s="1090">
        <v>0</v>
      </c>
      <c r="F463" s="1091">
        <v>0</v>
      </c>
      <c r="G463" s="1092">
        <v>101.11</v>
      </c>
      <c r="H463" s="1089">
        <v>0</v>
      </c>
      <c r="I463" s="1089">
        <v>0</v>
      </c>
      <c r="J463" s="1093">
        <v>0</v>
      </c>
      <c r="K463" s="1420"/>
    </row>
    <row r="464" spans="1:11" x14ac:dyDescent="0.15">
      <c r="A464" s="1448" t="s">
        <v>488</v>
      </c>
      <c r="B464" s="1094" t="s">
        <v>72</v>
      </c>
      <c r="C464" s="1095">
        <f t="shared" si="67"/>
        <v>20</v>
      </c>
      <c r="D464" s="1096">
        <v>9.92</v>
      </c>
      <c r="E464" s="1097">
        <v>0</v>
      </c>
      <c r="F464" s="1098">
        <v>0</v>
      </c>
      <c r="G464" s="1099">
        <v>10.08</v>
      </c>
      <c r="H464" s="1096">
        <v>0</v>
      </c>
      <c r="I464" s="1096">
        <v>0</v>
      </c>
      <c r="J464" s="1100">
        <v>0</v>
      </c>
      <c r="K464" s="1420" t="s">
        <v>348</v>
      </c>
    </row>
    <row r="465" spans="1:11" ht="12" customHeight="1" x14ac:dyDescent="0.15">
      <c r="A465" s="1437"/>
      <c r="B465" s="1088" t="s">
        <v>73</v>
      </c>
      <c r="C465" s="1089">
        <f t="shared" si="67"/>
        <v>20</v>
      </c>
      <c r="D465" s="1089">
        <v>9.92</v>
      </c>
      <c r="E465" s="1090">
        <v>0</v>
      </c>
      <c r="F465" s="1091">
        <v>0</v>
      </c>
      <c r="G465" s="1092">
        <v>10.08</v>
      </c>
      <c r="H465" s="1089">
        <v>0</v>
      </c>
      <c r="I465" s="1089">
        <v>0</v>
      </c>
      <c r="J465" s="1093">
        <v>0</v>
      </c>
      <c r="K465" s="1420"/>
    </row>
    <row r="466" spans="1:11" x14ac:dyDescent="0.15">
      <c r="A466" s="1448" t="s">
        <v>489</v>
      </c>
      <c r="B466" s="1094" t="s">
        <v>72</v>
      </c>
      <c r="C466" s="1096">
        <f t="shared" si="67"/>
        <v>35.950000000000003</v>
      </c>
      <c r="D466" s="1096">
        <v>5.95</v>
      </c>
      <c r="E466" s="1097">
        <v>0</v>
      </c>
      <c r="F466" s="1098">
        <v>0</v>
      </c>
      <c r="G466" s="1099">
        <v>6</v>
      </c>
      <c r="H466" s="1096">
        <v>12</v>
      </c>
      <c r="I466" s="1096">
        <v>12</v>
      </c>
      <c r="J466" s="1100">
        <v>0</v>
      </c>
      <c r="K466" s="1450" t="s">
        <v>484</v>
      </c>
    </row>
    <row r="467" spans="1:11" ht="11.25" customHeight="1" x14ac:dyDescent="0.15">
      <c r="A467" s="1437"/>
      <c r="B467" s="1088" t="s">
        <v>73</v>
      </c>
      <c r="C467" s="1089">
        <f t="shared" si="67"/>
        <v>35.950000000000003</v>
      </c>
      <c r="D467" s="1089">
        <v>5.95</v>
      </c>
      <c r="E467" s="1090">
        <v>0</v>
      </c>
      <c r="F467" s="1091">
        <v>0</v>
      </c>
      <c r="G467" s="1092">
        <v>6</v>
      </c>
      <c r="H467" s="1089">
        <v>12</v>
      </c>
      <c r="I467" s="1089">
        <v>12</v>
      </c>
      <c r="J467" s="1093">
        <v>0</v>
      </c>
      <c r="K467" s="1450"/>
    </row>
    <row r="468" spans="1:11" x14ac:dyDescent="0.15">
      <c r="A468" s="1448" t="s">
        <v>490</v>
      </c>
      <c r="B468" s="1094" t="s">
        <v>72</v>
      </c>
      <c r="C468" s="1096">
        <f t="shared" si="67"/>
        <v>124.35</v>
      </c>
      <c r="D468" s="1096">
        <v>49.35</v>
      </c>
      <c r="E468" s="1097">
        <v>0</v>
      </c>
      <c r="F468" s="1098">
        <v>0</v>
      </c>
      <c r="G468" s="1099">
        <v>25</v>
      </c>
      <c r="H468" s="1096">
        <v>25</v>
      </c>
      <c r="I468" s="1096">
        <v>25</v>
      </c>
      <c r="J468" s="1100">
        <v>0</v>
      </c>
      <c r="K468" s="1420" t="s">
        <v>348</v>
      </c>
    </row>
    <row r="469" spans="1:11" ht="10.5" customHeight="1" x14ac:dyDescent="0.15">
      <c r="A469" s="1437"/>
      <c r="B469" s="1088" t="s">
        <v>73</v>
      </c>
      <c r="C469" s="1089">
        <f t="shared" si="67"/>
        <v>124.35</v>
      </c>
      <c r="D469" s="1089">
        <v>49.35</v>
      </c>
      <c r="E469" s="1090">
        <v>0</v>
      </c>
      <c r="F469" s="1091">
        <v>0</v>
      </c>
      <c r="G469" s="1092">
        <v>25</v>
      </c>
      <c r="H469" s="1089">
        <v>25</v>
      </c>
      <c r="I469" s="1089">
        <v>25</v>
      </c>
      <c r="J469" s="1093">
        <v>0</v>
      </c>
      <c r="K469" s="1420"/>
    </row>
    <row r="470" spans="1:11" ht="12" customHeight="1" x14ac:dyDescent="0.15">
      <c r="A470" s="1448" t="s">
        <v>491</v>
      </c>
      <c r="B470" s="1094" t="s">
        <v>72</v>
      </c>
      <c r="C470" s="1096">
        <f t="shared" si="67"/>
        <v>107.88</v>
      </c>
      <c r="D470" s="1096">
        <v>0</v>
      </c>
      <c r="E470" s="1097">
        <v>0</v>
      </c>
      <c r="F470" s="1098">
        <v>0</v>
      </c>
      <c r="G470" s="1099">
        <v>0</v>
      </c>
      <c r="H470" s="1096">
        <v>0</v>
      </c>
      <c r="I470" s="1096">
        <v>107.88</v>
      </c>
      <c r="J470" s="1100">
        <v>0</v>
      </c>
      <c r="K470" s="1420" t="s">
        <v>348</v>
      </c>
    </row>
    <row r="471" spans="1:11" ht="11.25" customHeight="1" x14ac:dyDescent="0.15">
      <c r="A471" s="1437"/>
      <c r="B471" s="1088" t="s">
        <v>73</v>
      </c>
      <c r="C471" s="1089">
        <f t="shared" si="67"/>
        <v>107.88</v>
      </c>
      <c r="D471" s="1089">
        <v>0</v>
      </c>
      <c r="E471" s="1090">
        <v>0</v>
      </c>
      <c r="F471" s="1091">
        <v>0</v>
      </c>
      <c r="G471" s="1092">
        <v>0</v>
      </c>
      <c r="H471" s="1089">
        <v>0</v>
      </c>
      <c r="I471" s="1089">
        <v>107.88</v>
      </c>
      <c r="J471" s="1093">
        <v>0</v>
      </c>
      <c r="K471" s="1420"/>
    </row>
    <row r="472" spans="1:11" ht="11.25" customHeight="1" x14ac:dyDescent="0.15">
      <c r="A472" s="1448" t="s">
        <v>492</v>
      </c>
      <c r="B472" s="1094" t="s">
        <v>72</v>
      </c>
      <c r="C472" s="1095">
        <f t="shared" si="67"/>
        <v>3329.13</v>
      </c>
      <c r="D472" s="1096">
        <v>249.13</v>
      </c>
      <c r="E472" s="1097">
        <v>0</v>
      </c>
      <c r="F472" s="1098">
        <v>0</v>
      </c>
      <c r="G472" s="1099">
        <v>1200</v>
      </c>
      <c r="H472" s="1096">
        <v>1880</v>
      </c>
      <c r="I472" s="1096">
        <v>0</v>
      </c>
      <c r="J472" s="1100">
        <v>0</v>
      </c>
      <c r="K472" s="1420" t="s">
        <v>348</v>
      </c>
    </row>
    <row r="473" spans="1:11" ht="12" customHeight="1" x14ac:dyDescent="0.15">
      <c r="A473" s="1437"/>
      <c r="B473" s="1088" t="s">
        <v>73</v>
      </c>
      <c r="C473" s="1089">
        <f t="shared" si="67"/>
        <v>3329.13</v>
      </c>
      <c r="D473" s="1089">
        <v>249.13</v>
      </c>
      <c r="E473" s="1090">
        <v>0</v>
      </c>
      <c r="F473" s="1091">
        <v>0</v>
      </c>
      <c r="G473" s="1092">
        <v>1200</v>
      </c>
      <c r="H473" s="1089">
        <v>1880</v>
      </c>
      <c r="I473" s="1089">
        <v>0</v>
      </c>
      <c r="J473" s="1093">
        <v>0</v>
      </c>
      <c r="K473" s="1420"/>
    </row>
    <row r="474" spans="1:11" ht="10.5" customHeight="1" x14ac:dyDescent="0.15">
      <c r="A474" s="1448" t="s">
        <v>493</v>
      </c>
      <c r="B474" s="1094" t="s">
        <v>72</v>
      </c>
      <c r="C474" s="1096">
        <f t="shared" si="67"/>
        <v>1200</v>
      </c>
      <c r="D474" s="1096">
        <v>0</v>
      </c>
      <c r="E474" s="1097">
        <v>1200</v>
      </c>
      <c r="F474" s="1098">
        <v>0</v>
      </c>
      <c r="G474" s="1099">
        <v>0</v>
      </c>
      <c r="H474" s="1096">
        <v>0</v>
      </c>
      <c r="I474" s="1096">
        <v>0</v>
      </c>
      <c r="J474" s="1100">
        <v>0</v>
      </c>
      <c r="K474" s="1420" t="s">
        <v>348</v>
      </c>
    </row>
    <row r="475" spans="1:11" ht="11.25" customHeight="1" x14ac:dyDescent="0.15">
      <c r="A475" s="1437"/>
      <c r="B475" s="1088" t="s">
        <v>73</v>
      </c>
      <c r="C475" s="1089">
        <f t="shared" si="67"/>
        <v>1200</v>
      </c>
      <c r="D475" s="1089">
        <v>0</v>
      </c>
      <c r="E475" s="1090">
        <v>1200</v>
      </c>
      <c r="F475" s="1091">
        <v>0</v>
      </c>
      <c r="G475" s="1092">
        <v>0</v>
      </c>
      <c r="H475" s="1089">
        <v>0</v>
      </c>
      <c r="I475" s="1089">
        <v>0</v>
      </c>
      <c r="J475" s="1093">
        <v>0</v>
      </c>
      <c r="K475" s="1420"/>
    </row>
    <row r="476" spans="1:11" ht="12" customHeight="1" x14ac:dyDescent="0.15">
      <c r="A476" s="1448" t="s">
        <v>494</v>
      </c>
      <c r="B476" s="1094" t="s">
        <v>72</v>
      </c>
      <c r="C476" s="1095">
        <f t="shared" si="67"/>
        <v>1190</v>
      </c>
      <c r="D476" s="1096">
        <v>0</v>
      </c>
      <c r="E476" s="1097">
        <v>1190</v>
      </c>
      <c r="F476" s="1098">
        <v>0</v>
      </c>
      <c r="G476" s="1099">
        <v>0</v>
      </c>
      <c r="H476" s="1096">
        <v>0</v>
      </c>
      <c r="I476" s="1096">
        <v>0</v>
      </c>
      <c r="J476" s="1100">
        <v>0</v>
      </c>
      <c r="K476" s="1420" t="s">
        <v>348</v>
      </c>
    </row>
    <row r="477" spans="1:11" ht="10.5" customHeight="1" x14ac:dyDescent="0.15">
      <c r="A477" s="1437"/>
      <c r="B477" s="1088" t="s">
        <v>73</v>
      </c>
      <c r="C477" s="1089">
        <f t="shared" si="67"/>
        <v>1190</v>
      </c>
      <c r="D477" s="1089">
        <v>0</v>
      </c>
      <c r="E477" s="1090">
        <v>1190</v>
      </c>
      <c r="F477" s="1091">
        <v>0</v>
      </c>
      <c r="G477" s="1092">
        <v>0</v>
      </c>
      <c r="H477" s="1089">
        <v>0</v>
      </c>
      <c r="I477" s="1089">
        <v>0</v>
      </c>
      <c r="J477" s="1093">
        <v>0</v>
      </c>
      <c r="K477" s="1420"/>
    </row>
    <row r="478" spans="1:11" ht="12" customHeight="1" x14ac:dyDescent="0.15">
      <c r="A478" s="1448" t="s">
        <v>495</v>
      </c>
      <c r="B478" s="1094" t="s">
        <v>72</v>
      </c>
      <c r="C478" s="1096">
        <f t="shared" si="67"/>
        <v>2413</v>
      </c>
      <c r="D478" s="1096">
        <v>0</v>
      </c>
      <c r="E478" s="1097">
        <v>2413</v>
      </c>
      <c r="F478" s="1098">
        <v>0</v>
      </c>
      <c r="G478" s="1099">
        <v>0</v>
      </c>
      <c r="H478" s="1096">
        <v>0</v>
      </c>
      <c r="I478" s="1096">
        <v>0</v>
      </c>
      <c r="J478" s="1100">
        <v>0</v>
      </c>
      <c r="K478" s="1420" t="s">
        <v>348</v>
      </c>
    </row>
    <row r="479" spans="1:11" ht="12" customHeight="1" x14ac:dyDescent="0.15">
      <c r="A479" s="1437"/>
      <c r="B479" s="1088" t="s">
        <v>73</v>
      </c>
      <c r="C479" s="1089">
        <f t="shared" si="67"/>
        <v>2413</v>
      </c>
      <c r="D479" s="1089">
        <v>0</v>
      </c>
      <c r="E479" s="1090">
        <v>2413</v>
      </c>
      <c r="F479" s="1091">
        <v>0</v>
      </c>
      <c r="G479" s="1092">
        <v>0</v>
      </c>
      <c r="H479" s="1089">
        <v>0</v>
      </c>
      <c r="I479" s="1089">
        <v>0</v>
      </c>
      <c r="J479" s="1093">
        <v>0</v>
      </c>
      <c r="K479" s="1420"/>
    </row>
    <row r="480" spans="1:11" ht="11.25" customHeight="1" x14ac:dyDescent="0.15">
      <c r="A480" s="1448" t="s">
        <v>496</v>
      </c>
      <c r="B480" s="1094" t="s">
        <v>72</v>
      </c>
      <c r="C480" s="1096">
        <f t="shared" si="67"/>
        <v>1400</v>
      </c>
      <c r="D480" s="1096">
        <v>0</v>
      </c>
      <c r="E480" s="1097">
        <v>1400</v>
      </c>
      <c r="F480" s="1098">
        <v>0</v>
      </c>
      <c r="G480" s="1099">
        <v>0</v>
      </c>
      <c r="H480" s="1096">
        <v>0</v>
      </c>
      <c r="I480" s="1096">
        <v>0</v>
      </c>
      <c r="J480" s="1100">
        <v>0</v>
      </c>
      <c r="K480" s="1420" t="s">
        <v>348</v>
      </c>
    </row>
    <row r="481" spans="1:11" ht="12" customHeight="1" x14ac:dyDescent="0.15">
      <c r="A481" s="1437"/>
      <c r="B481" s="1088" t="s">
        <v>73</v>
      </c>
      <c r="C481" s="1089">
        <f t="shared" si="67"/>
        <v>1400</v>
      </c>
      <c r="D481" s="1089">
        <v>0</v>
      </c>
      <c r="E481" s="1090">
        <v>1400</v>
      </c>
      <c r="F481" s="1091">
        <v>0</v>
      </c>
      <c r="G481" s="1092">
        <v>0</v>
      </c>
      <c r="H481" s="1089">
        <v>0</v>
      </c>
      <c r="I481" s="1089">
        <v>0</v>
      </c>
      <c r="J481" s="1093">
        <v>0</v>
      </c>
      <c r="K481" s="1420"/>
    </row>
    <row r="482" spans="1:11" x14ac:dyDescent="0.15">
      <c r="A482" s="1448" t="s">
        <v>497</v>
      </c>
      <c r="B482" s="1094" t="s">
        <v>72</v>
      </c>
      <c r="C482" s="1095">
        <f t="shared" si="67"/>
        <v>500</v>
      </c>
      <c r="D482" s="1096">
        <v>0</v>
      </c>
      <c r="E482" s="1097">
        <v>500</v>
      </c>
      <c r="F482" s="1098">
        <v>0</v>
      </c>
      <c r="G482" s="1099">
        <v>0</v>
      </c>
      <c r="H482" s="1096">
        <v>0</v>
      </c>
      <c r="I482" s="1096">
        <v>0</v>
      </c>
      <c r="J482" s="1100">
        <v>0</v>
      </c>
      <c r="K482" s="1420" t="s">
        <v>348</v>
      </c>
    </row>
    <row r="483" spans="1:11" ht="12" customHeight="1" x14ac:dyDescent="0.15">
      <c r="A483" s="1437"/>
      <c r="B483" s="1088" t="s">
        <v>73</v>
      </c>
      <c r="C483" s="1089">
        <f t="shared" si="67"/>
        <v>500</v>
      </c>
      <c r="D483" s="1089">
        <v>0</v>
      </c>
      <c r="E483" s="1090">
        <v>500</v>
      </c>
      <c r="F483" s="1091">
        <v>0</v>
      </c>
      <c r="G483" s="1092">
        <v>0</v>
      </c>
      <c r="H483" s="1089">
        <v>0</v>
      </c>
      <c r="I483" s="1089">
        <v>0</v>
      </c>
      <c r="J483" s="1093">
        <v>0</v>
      </c>
      <c r="K483" s="1420"/>
    </row>
    <row r="484" spans="1:11" ht="11.25" customHeight="1" x14ac:dyDescent="0.15">
      <c r="A484" s="1448" t="s">
        <v>498</v>
      </c>
      <c r="B484" s="1094" t="s">
        <v>72</v>
      </c>
      <c r="C484" s="1096">
        <f t="shared" si="67"/>
        <v>4200.37</v>
      </c>
      <c r="D484" s="1096">
        <v>4200.37</v>
      </c>
      <c r="E484" s="1097">
        <v>0</v>
      </c>
      <c r="F484" s="1098">
        <v>0</v>
      </c>
      <c r="G484" s="1099">
        <v>0</v>
      </c>
      <c r="H484" s="1096">
        <v>0</v>
      </c>
      <c r="I484" s="1096">
        <v>0</v>
      </c>
      <c r="J484" s="1100">
        <v>0</v>
      </c>
      <c r="K484" s="1420" t="s">
        <v>348</v>
      </c>
    </row>
    <row r="485" spans="1:11" ht="11.25" customHeight="1" x14ac:dyDescent="0.15">
      <c r="A485" s="1437"/>
      <c r="B485" s="1088" t="s">
        <v>73</v>
      </c>
      <c r="C485" s="1089">
        <f t="shared" si="67"/>
        <v>4200.37</v>
      </c>
      <c r="D485" s="1089">
        <v>4200.37</v>
      </c>
      <c r="E485" s="1090">
        <v>0</v>
      </c>
      <c r="F485" s="1091">
        <v>0</v>
      </c>
      <c r="G485" s="1092">
        <v>0</v>
      </c>
      <c r="H485" s="1089">
        <v>0</v>
      </c>
      <c r="I485" s="1089">
        <v>0</v>
      </c>
      <c r="J485" s="1093">
        <v>0</v>
      </c>
      <c r="K485" s="1420"/>
    </row>
    <row r="486" spans="1:11" ht="11.25" customHeight="1" x14ac:dyDescent="0.15">
      <c r="A486" s="1448" t="s">
        <v>499</v>
      </c>
      <c r="B486" s="1094" t="s">
        <v>72</v>
      </c>
      <c r="C486" s="1096">
        <f t="shared" si="67"/>
        <v>2091.67</v>
      </c>
      <c r="D486" s="1096">
        <v>2091.67</v>
      </c>
      <c r="E486" s="1097">
        <v>0</v>
      </c>
      <c r="F486" s="1098">
        <v>0</v>
      </c>
      <c r="G486" s="1099">
        <v>0</v>
      </c>
      <c r="H486" s="1096">
        <v>0</v>
      </c>
      <c r="I486" s="1096">
        <v>0</v>
      </c>
      <c r="J486" s="1100">
        <v>0</v>
      </c>
      <c r="K486" s="1420" t="s">
        <v>348</v>
      </c>
    </row>
    <row r="487" spans="1:11" ht="12" customHeight="1" x14ac:dyDescent="0.15">
      <c r="A487" s="1437"/>
      <c r="B487" s="1088" t="s">
        <v>73</v>
      </c>
      <c r="C487" s="1089">
        <f t="shared" si="67"/>
        <v>2091.67</v>
      </c>
      <c r="D487" s="1089">
        <v>2091.67</v>
      </c>
      <c r="E487" s="1090">
        <v>0</v>
      </c>
      <c r="F487" s="1091">
        <v>0</v>
      </c>
      <c r="G487" s="1092">
        <v>0</v>
      </c>
      <c r="H487" s="1089">
        <v>0</v>
      </c>
      <c r="I487" s="1089">
        <v>0</v>
      </c>
      <c r="J487" s="1093">
        <v>0</v>
      </c>
      <c r="K487" s="1420"/>
    </row>
    <row r="488" spans="1:11" ht="11.25" customHeight="1" x14ac:dyDescent="0.15">
      <c r="A488" s="1448" t="s">
        <v>500</v>
      </c>
      <c r="B488" s="1094" t="s">
        <v>72</v>
      </c>
      <c r="C488" s="1095">
        <f t="shared" si="67"/>
        <v>643.78</v>
      </c>
      <c r="D488" s="1096">
        <v>543.78</v>
      </c>
      <c r="E488" s="1097">
        <v>0</v>
      </c>
      <c r="F488" s="1098">
        <v>0</v>
      </c>
      <c r="G488" s="1099">
        <v>100</v>
      </c>
      <c r="H488" s="1096">
        <v>0</v>
      </c>
      <c r="I488" s="1096">
        <v>0</v>
      </c>
      <c r="J488" s="1100">
        <v>0</v>
      </c>
      <c r="K488" s="1420" t="s">
        <v>348</v>
      </c>
    </row>
    <row r="489" spans="1:11" ht="11.25" customHeight="1" x14ac:dyDescent="0.15">
      <c r="A489" s="1437"/>
      <c r="B489" s="1088" t="s">
        <v>73</v>
      </c>
      <c r="C489" s="1089">
        <f t="shared" si="67"/>
        <v>643.78</v>
      </c>
      <c r="D489" s="1089">
        <v>543.78</v>
      </c>
      <c r="E489" s="1090">
        <v>0</v>
      </c>
      <c r="F489" s="1091">
        <v>0</v>
      </c>
      <c r="G489" s="1092">
        <v>100</v>
      </c>
      <c r="H489" s="1089">
        <v>0</v>
      </c>
      <c r="I489" s="1089">
        <v>0</v>
      </c>
      <c r="J489" s="1093">
        <v>0</v>
      </c>
      <c r="K489" s="1420"/>
    </row>
    <row r="490" spans="1:11" ht="12" customHeight="1" x14ac:dyDescent="0.15">
      <c r="A490" s="1448" t="s">
        <v>501</v>
      </c>
      <c r="B490" s="1094" t="s">
        <v>72</v>
      </c>
      <c r="C490" s="1096">
        <f t="shared" si="67"/>
        <v>1298.74</v>
      </c>
      <c r="D490" s="1096">
        <v>698.74</v>
      </c>
      <c r="E490" s="1097">
        <v>0</v>
      </c>
      <c r="F490" s="1098">
        <v>0</v>
      </c>
      <c r="G490" s="1099">
        <v>600</v>
      </c>
      <c r="H490" s="1096">
        <v>0</v>
      </c>
      <c r="I490" s="1096">
        <v>0</v>
      </c>
      <c r="J490" s="1100">
        <v>0</v>
      </c>
      <c r="K490" s="1420" t="s">
        <v>348</v>
      </c>
    </row>
    <row r="491" spans="1:11" ht="12.75" customHeight="1" x14ac:dyDescent="0.15">
      <c r="A491" s="1437"/>
      <c r="B491" s="1088" t="s">
        <v>73</v>
      </c>
      <c r="C491" s="1089">
        <f t="shared" si="67"/>
        <v>1298.74</v>
      </c>
      <c r="D491" s="1089">
        <v>698.74</v>
      </c>
      <c r="E491" s="1090">
        <v>0</v>
      </c>
      <c r="F491" s="1091">
        <v>0</v>
      </c>
      <c r="G491" s="1092">
        <v>600</v>
      </c>
      <c r="H491" s="1089">
        <v>0</v>
      </c>
      <c r="I491" s="1089">
        <v>0</v>
      </c>
      <c r="J491" s="1093">
        <v>0</v>
      </c>
      <c r="K491" s="1420"/>
    </row>
    <row r="492" spans="1:11" x14ac:dyDescent="0.15">
      <c r="A492" s="1448" t="s">
        <v>502</v>
      </c>
      <c r="B492" s="1094" t="s">
        <v>72</v>
      </c>
      <c r="C492" s="1095">
        <f t="shared" si="67"/>
        <v>102.93</v>
      </c>
      <c r="D492" s="1096">
        <v>2.93</v>
      </c>
      <c r="E492" s="1097">
        <v>0</v>
      </c>
      <c r="F492" s="1098">
        <v>0</v>
      </c>
      <c r="G492" s="1099">
        <v>100</v>
      </c>
      <c r="H492" s="1096">
        <v>0</v>
      </c>
      <c r="I492" s="1096">
        <v>0</v>
      </c>
      <c r="J492" s="1100">
        <v>0</v>
      </c>
      <c r="K492" s="1420" t="s">
        <v>348</v>
      </c>
    </row>
    <row r="493" spans="1:11" x14ac:dyDescent="0.15">
      <c r="A493" s="1437"/>
      <c r="B493" s="1088" t="s">
        <v>73</v>
      </c>
      <c r="C493" s="1089">
        <f t="shared" si="67"/>
        <v>102.93</v>
      </c>
      <c r="D493" s="1089">
        <v>2.93</v>
      </c>
      <c r="E493" s="1090">
        <v>0</v>
      </c>
      <c r="F493" s="1091">
        <v>0</v>
      </c>
      <c r="G493" s="1092">
        <v>100</v>
      </c>
      <c r="H493" s="1089">
        <v>0</v>
      </c>
      <c r="I493" s="1089">
        <v>0</v>
      </c>
      <c r="J493" s="1093">
        <v>0</v>
      </c>
      <c r="K493" s="1420"/>
    </row>
    <row r="494" spans="1:11" x14ac:dyDescent="0.15">
      <c r="A494" s="1448" t="s">
        <v>503</v>
      </c>
      <c r="B494" s="1094" t="s">
        <v>72</v>
      </c>
      <c r="C494" s="1096">
        <f t="shared" si="67"/>
        <v>6967</v>
      </c>
      <c r="D494" s="1096">
        <v>0</v>
      </c>
      <c r="E494" s="1097">
        <v>6967</v>
      </c>
      <c r="F494" s="1098">
        <v>0</v>
      </c>
      <c r="G494" s="1099">
        <v>0</v>
      </c>
      <c r="H494" s="1096">
        <v>0</v>
      </c>
      <c r="I494" s="1096">
        <v>0</v>
      </c>
      <c r="J494" s="1100">
        <v>0</v>
      </c>
      <c r="K494" s="1420" t="s">
        <v>348</v>
      </c>
    </row>
    <row r="495" spans="1:11" x14ac:dyDescent="0.15">
      <c r="A495" s="1437"/>
      <c r="B495" s="1088" t="s">
        <v>73</v>
      </c>
      <c r="C495" s="1089">
        <f t="shared" si="67"/>
        <v>6967</v>
      </c>
      <c r="D495" s="1089">
        <v>0</v>
      </c>
      <c r="E495" s="1090">
        <v>6967</v>
      </c>
      <c r="F495" s="1091">
        <v>0</v>
      </c>
      <c r="G495" s="1092">
        <v>0</v>
      </c>
      <c r="H495" s="1089">
        <v>0</v>
      </c>
      <c r="I495" s="1089">
        <v>0</v>
      </c>
      <c r="J495" s="1093">
        <v>0</v>
      </c>
      <c r="K495" s="1420"/>
    </row>
    <row r="496" spans="1:11" x14ac:dyDescent="0.15">
      <c r="A496" s="1448" t="s">
        <v>504</v>
      </c>
      <c r="B496" s="1094" t="s">
        <v>72</v>
      </c>
      <c r="C496" s="1095">
        <f t="shared" si="67"/>
        <v>578</v>
      </c>
      <c r="D496" s="1096">
        <v>0</v>
      </c>
      <c r="E496" s="1097">
        <v>578</v>
      </c>
      <c r="F496" s="1098">
        <v>0</v>
      </c>
      <c r="G496" s="1099">
        <v>0</v>
      </c>
      <c r="H496" s="1096">
        <v>0</v>
      </c>
      <c r="I496" s="1096">
        <v>0</v>
      </c>
      <c r="J496" s="1100">
        <v>0</v>
      </c>
      <c r="K496" s="1420" t="s">
        <v>348</v>
      </c>
    </row>
    <row r="497" spans="1:11" x14ac:dyDescent="0.15">
      <c r="A497" s="1437"/>
      <c r="B497" s="1088" t="s">
        <v>73</v>
      </c>
      <c r="C497" s="1089">
        <f t="shared" si="67"/>
        <v>578</v>
      </c>
      <c r="D497" s="1089">
        <v>0</v>
      </c>
      <c r="E497" s="1090">
        <v>578</v>
      </c>
      <c r="F497" s="1091">
        <v>0</v>
      </c>
      <c r="G497" s="1092">
        <v>0</v>
      </c>
      <c r="H497" s="1089">
        <v>0</v>
      </c>
      <c r="I497" s="1089">
        <v>0</v>
      </c>
      <c r="J497" s="1093">
        <v>0</v>
      </c>
      <c r="K497" s="1420"/>
    </row>
    <row r="498" spans="1:11" x14ac:dyDescent="0.15">
      <c r="A498" s="1448" t="s">
        <v>505</v>
      </c>
      <c r="B498" s="1094" t="s">
        <v>72</v>
      </c>
      <c r="C498" s="1096">
        <f>D498+E498+F498+G498+H498+I498+J498</f>
        <v>3200</v>
      </c>
      <c r="D498" s="1096">
        <v>3052.58</v>
      </c>
      <c r="E498" s="1097">
        <v>147.41999999999999</v>
      </c>
      <c r="F498" s="1098">
        <v>0</v>
      </c>
      <c r="G498" s="1099">
        <v>0</v>
      </c>
      <c r="H498" s="1096">
        <v>0</v>
      </c>
      <c r="I498" s="1096">
        <v>0</v>
      </c>
      <c r="J498" s="1100">
        <v>0</v>
      </c>
      <c r="K498" s="1420" t="s">
        <v>348</v>
      </c>
    </row>
    <row r="499" spans="1:11" ht="12" customHeight="1" x14ac:dyDescent="0.15">
      <c r="A499" s="1437"/>
      <c r="B499" s="1088" t="s">
        <v>73</v>
      </c>
      <c r="C499" s="1089">
        <f>D499+E499+F499+G499+H499+I499+J499</f>
        <v>3200</v>
      </c>
      <c r="D499" s="1089">
        <v>3052.58</v>
      </c>
      <c r="E499" s="1090">
        <v>147.41999999999999</v>
      </c>
      <c r="F499" s="1091">
        <v>0</v>
      </c>
      <c r="G499" s="1092">
        <v>0</v>
      </c>
      <c r="H499" s="1089">
        <v>0</v>
      </c>
      <c r="I499" s="1089">
        <v>0</v>
      </c>
      <c r="J499" s="1093">
        <v>0</v>
      </c>
      <c r="K499" s="1420"/>
    </row>
    <row r="500" spans="1:11" x14ac:dyDescent="0.15">
      <c r="A500" s="1448" t="s">
        <v>506</v>
      </c>
      <c r="B500" s="1094" t="s">
        <v>72</v>
      </c>
      <c r="C500" s="1096">
        <f t="shared" ref="C500:C503" si="68">D500+E500+F500+G500+H500+I500+J500</f>
        <v>8381.9699999999993</v>
      </c>
      <c r="D500" s="1096">
        <v>3443.31</v>
      </c>
      <c r="E500" s="1097">
        <v>372</v>
      </c>
      <c r="F500" s="1098">
        <v>0</v>
      </c>
      <c r="G500" s="1099">
        <v>2834.08</v>
      </c>
      <c r="H500" s="1096">
        <v>0</v>
      </c>
      <c r="I500" s="1096">
        <v>1732.58</v>
      </c>
      <c r="J500" s="1100">
        <v>0</v>
      </c>
      <c r="K500" s="1420" t="s">
        <v>348</v>
      </c>
    </row>
    <row r="501" spans="1:11" x14ac:dyDescent="0.15">
      <c r="A501" s="1437"/>
      <c r="B501" s="1088" t="s">
        <v>73</v>
      </c>
      <c r="C501" s="1089">
        <f t="shared" si="68"/>
        <v>8381.9699999999993</v>
      </c>
      <c r="D501" s="1089">
        <v>3443.31</v>
      </c>
      <c r="E501" s="1090">
        <v>372</v>
      </c>
      <c r="F501" s="1091">
        <v>0</v>
      </c>
      <c r="G501" s="1092">
        <v>2834.08</v>
      </c>
      <c r="H501" s="1089">
        <v>0</v>
      </c>
      <c r="I501" s="1089">
        <v>1732.58</v>
      </c>
      <c r="J501" s="1093">
        <v>0</v>
      </c>
      <c r="K501" s="1420"/>
    </row>
    <row r="502" spans="1:11" ht="11.25" customHeight="1" x14ac:dyDescent="0.15">
      <c r="A502" s="1001"/>
      <c r="B502" s="963" t="s">
        <v>72</v>
      </c>
      <c r="C502" s="964">
        <f t="shared" si="68"/>
        <v>0</v>
      </c>
      <c r="D502" s="964"/>
      <c r="E502" s="965"/>
      <c r="F502" s="966"/>
      <c r="G502" s="967"/>
      <c r="H502" s="964"/>
      <c r="I502" s="964"/>
      <c r="J502" s="968"/>
    </row>
    <row r="503" spans="1:11" x14ac:dyDescent="0.15">
      <c r="A503" s="1002"/>
      <c r="B503" s="1003" t="s">
        <v>73</v>
      </c>
      <c r="C503" s="1004">
        <f t="shared" si="68"/>
        <v>0</v>
      </c>
      <c r="D503" s="1004"/>
      <c r="E503" s="1005"/>
      <c r="F503" s="1006"/>
      <c r="G503" s="1007"/>
      <c r="H503" s="1004"/>
      <c r="I503" s="1004"/>
      <c r="J503" s="1008"/>
    </row>
    <row r="504" spans="1:11" hidden="1" x14ac:dyDescent="0.15">
      <c r="A504" s="1001"/>
      <c r="B504" s="963" t="s">
        <v>72</v>
      </c>
      <c r="C504" s="964">
        <f t="shared" si="67"/>
        <v>0</v>
      </c>
      <c r="D504" s="964"/>
      <c r="E504" s="965"/>
      <c r="F504" s="966"/>
      <c r="G504" s="967"/>
      <c r="H504" s="964"/>
      <c r="I504" s="964"/>
      <c r="J504" s="968"/>
    </row>
    <row r="505" spans="1:11" hidden="1" x14ac:dyDescent="0.15">
      <c r="A505" s="1002"/>
      <c r="B505" s="1003" t="s">
        <v>73</v>
      </c>
      <c r="C505" s="1004">
        <f t="shared" si="67"/>
        <v>0</v>
      </c>
      <c r="D505" s="1004"/>
      <c r="E505" s="1005"/>
      <c r="F505" s="1006"/>
      <c r="G505" s="1007"/>
      <c r="H505" s="1004"/>
      <c r="I505" s="1004"/>
      <c r="J505" s="1008"/>
    </row>
    <row r="506" spans="1:11" hidden="1" x14ac:dyDescent="0.15">
      <c r="A506" s="1001"/>
      <c r="B506" s="963" t="s">
        <v>72</v>
      </c>
      <c r="C506" s="964">
        <f t="shared" si="67"/>
        <v>0</v>
      </c>
      <c r="D506" s="964"/>
      <c r="E506" s="965"/>
      <c r="F506" s="966"/>
      <c r="G506" s="967"/>
      <c r="H506" s="964"/>
      <c r="I506" s="964"/>
      <c r="J506" s="968"/>
    </row>
    <row r="507" spans="1:11" hidden="1" x14ac:dyDescent="0.15">
      <c r="A507" s="1002"/>
      <c r="B507" s="1003" t="s">
        <v>73</v>
      </c>
      <c r="C507" s="1004">
        <f t="shared" si="67"/>
        <v>0</v>
      </c>
      <c r="D507" s="1004"/>
      <c r="E507" s="1005"/>
      <c r="F507" s="1006"/>
      <c r="G507" s="1007"/>
      <c r="H507" s="1004"/>
      <c r="I507" s="1004"/>
      <c r="J507" s="1008"/>
    </row>
    <row r="508" spans="1:11" hidden="1" x14ac:dyDescent="0.15">
      <c r="A508" s="1001"/>
      <c r="B508" s="963" t="s">
        <v>72</v>
      </c>
      <c r="C508" s="964">
        <f t="shared" si="67"/>
        <v>0</v>
      </c>
      <c r="D508" s="964"/>
      <c r="E508" s="965"/>
      <c r="F508" s="966"/>
      <c r="G508" s="967"/>
      <c r="H508" s="964"/>
      <c r="I508" s="964"/>
      <c r="J508" s="968"/>
    </row>
    <row r="509" spans="1:11" hidden="1" x14ac:dyDescent="0.15">
      <c r="A509" s="1002"/>
      <c r="B509" s="1003" t="s">
        <v>73</v>
      </c>
      <c r="C509" s="1004">
        <f t="shared" si="67"/>
        <v>0</v>
      </c>
      <c r="D509" s="1004"/>
      <c r="E509" s="1005"/>
      <c r="F509" s="1006"/>
      <c r="G509" s="1007"/>
      <c r="H509" s="1004"/>
      <c r="I509" s="1004"/>
      <c r="J509" s="1008"/>
    </row>
    <row r="510" spans="1:11" hidden="1" x14ac:dyDescent="0.15">
      <c r="A510" s="1001"/>
      <c r="B510" s="963" t="s">
        <v>72</v>
      </c>
      <c r="C510" s="964">
        <f t="shared" si="67"/>
        <v>0</v>
      </c>
      <c r="D510" s="964"/>
      <c r="E510" s="965"/>
      <c r="F510" s="966"/>
      <c r="G510" s="967"/>
      <c r="H510" s="964"/>
      <c r="I510" s="964"/>
      <c r="J510" s="968"/>
    </row>
    <row r="511" spans="1:11" hidden="1" x14ac:dyDescent="0.15">
      <c r="A511" s="1002"/>
      <c r="B511" s="1003" t="s">
        <v>73</v>
      </c>
      <c r="C511" s="1004">
        <f t="shared" si="67"/>
        <v>0</v>
      </c>
      <c r="D511" s="1004"/>
      <c r="E511" s="1005"/>
      <c r="F511" s="1006"/>
      <c r="G511" s="1007"/>
      <c r="H511" s="1004"/>
      <c r="I511" s="1004"/>
      <c r="J511" s="1008"/>
    </row>
    <row r="512" spans="1:11" ht="29.25" customHeight="1" x14ac:dyDescent="0.15">
      <c r="A512" s="1451" t="s">
        <v>507</v>
      </c>
      <c r="B512" s="1452"/>
      <c r="C512" s="1452"/>
      <c r="D512" s="1452"/>
      <c r="E512" s="1452"/>
      <c r="F512" s="1452"/>
      <c r="G512" s="1452"/>
      <c r="H512" s="1452"/>
      <c r="I512" s="1452"/>
      <c r="J512" s="1453"/>
    </row>
    <row r="513" spans="1:11" x14ac:dyDescent="0.15">
      <c r="A513" s="1413" t="s">
        <v>328</v>
      </c>
      <c r="B513" s="875" t="s">
        <v>72</v>
      </c>
      <c r="C513" s="905">
        <f>D513+E513+F513+G513+H513+I513+J513</f>
        <v>867</v>
      </c>
      <c r="D513" s="905">
        <f t="shared" ref="D513:J514" si="69">D515+D521</f>
        <v>0</v>
      </c>
      <c r="E513" s="906">
        <f t="shared" si="69"/>
        <v>0</v>
      </c>
      <c r="F513" s="832">
        <f t="shared" si="69"/>
        <v>867</v>
      </c>
      <c r="G513" s="907">
        <f t="shared" si="69"/>
        <v>0</v>
      </c>
      <c r="H513" s="905">
        <f t="shared" si="69"/>
        <v>0</v>
      </c>
      <c r="I513" s="905">
        <f t="shared" si="69"/>
        <v>0</v>
      </c>
      <c r="J513" s="908">
        <f t="shared" si="69"/>
        <v>0</v>
      </c>
    </row>
    <row r="514" spans="1:11" ht="12.75" customHeight="1" thickBot="1" x14ac:dyDescent="0.2">
      <c r="A514" s="1414"/>
      <c r="B514" s="909" t="s">
        <v>73</v>
      </c>
      <c r="C514" s="1013">
        <f>D514+E514+F514+G514+H514+I514+J514</f>
        <v>867</v>
      </c>
      <c r="D514" s="1013">
        <f t="shared" si="69"/>
        <v>0</v>
      </c>
      <c r="E514" s="1014">
        <f t="shared" si="69"/>
        <v>0</v>
      </c>
      <c r="F514" s="1015">
        <f t="shared" si="69"/>
        <v>867</v>
      </c>
      <c r="G514" s="1016">
        <f t="shared" si="69"/>
        <v>0</v>
      </c>
      <c r="H514" s="1013">
        <f t="shared" si="69"/>
        <v>0</v>
      </c>
      <c r="I514" s="1013">
        <f t="shared" si="69"/>
        <v>0</v>
      </c>
      <c r="J514" s="1017">
        <f t="shared" si="69"/>
        <v>0</v>
      </c>
    </row>
    <row r="515" spans="1:11" ht="11.25" customHeight="1" x14ac:dyDescent="0.15">
      <c r="A515" s="841" t="s">
        <v>329</v>
      </c>
      <c r="B515" s="842" t="s">
        <v>72</v>
      </c>
      <c r="C515" s="843">
        <f>C517</f>
        <v>0</v>
      </c>
      <c r="D515" s="843">
        <f>D517</f>
        <v>0</v>
      </c>
      <c r="E515" s="844">
        <f t="shared" ref="E515:J518" si="70">E517</f>
        <v>0</v>
      </c>
      <c r="F515" s="845">
        <f t="shared" si="70"/>
        <v>0</v>
      </c>
      <c r="G515" s="846">
        <f t="shared" si="70"/>
        <v>0</v>
      </c>
      <c r="H515" s="843">
        <f t="shared" si="70"/>
        <v>0</v>
      </c>
      <c r="I515" s="843">
        <f t="shared" si="70"/>
        <v>0</v>
      </c>
      <c r="J515" s="847">
        <f t="shared" si="70"/>
        <v>0</v>
      </c>
    </row>
    <row r="516" spans="1:11" x14ac:dyDescent="0.15">
      <c r="A516" s="848" t="s">
        <v>330</v>
      </c>
      <c r="B516" s="849" t="s">
        <v>73</v>
      </c>
      <c r="C516" s="1031">
        <f>C518</f>
        <v>0</v>
      </c>
      <c r="D516" s="1031">
        <f>D518</f>
        <v>0</v>
      </c>
      <c r="E516" s="1032">
        <f t="shared" si="70"/>
        <v>0</v>
      </c>
      <c r="F516" s="1033">
        <f t="shared" si="70"/>
        <v>0</v>
      </c>
      <c r="G516" s="1034">
        <f t="shared" si="70"/>
        <v>0</v>
      </c>
      <c r="H516" s="1031">
        <f t="shared" si="70"/>
        <v>0</v>
      </c>
      <c r="I516" s="1031">
        <f t="shared" si="70"/>
        <v>0</v>
      </c>
      <c r="J516" s="1035">
        <f t="shared" si="70"/>
        <v>0</v>
      </c>
    </row>
    <row r="517" spans="1:11" ht="12" customHeight="1" x14ac:dyDescent="0.15">
      <c r="A517" s="1415" t="s">
        <v>331</v>
      </c>
      <c r="B517" s="842" t="s">
        <v>72</v>
      </c>
      <c r="C517" s="1036">
        <f t="shared" ref="C517" si="71">D517+E517+F517+G517+H517+I517+J517</f>
        <v>0</v>
      </c>
      <c r="D517" s="1036">
        <f>D519</f>
        <v>0</v>
      </c>
      <c r="E517" s="1037">
        <f t="shared" si="70"/>
        <v>0</v>
      </c>
      <c r="F517" s="1038">
        <f t="shared" si="70"/>
        <v>0</v>
      </c>
      <c r="G517" s="1039">
        <f t="shared" si="70"/>
        <v>0</v>
      </c>
      <c r="H517" s="1036">
        <f t="shared" si="70"/>
        <v>0</v>
      </c>
      <c r="I517" s="1036">
        <f t="shared" si="70"/>
        <v>0</v>
      </c>
      <c r="J517" s="1056">
        <f t="shared" si="70"/>
        <v>0</v>
      </c>
    </row>
    <row r="518" spans="1:11" x14ac:dyDescent="0.15">
      <c r="A518" s="1416"/>
      <c r="B518" s="849" t="s">
        <v>73</v>
      </c>
      <c r="C518" s="1041">
        <f>D518+E518+F518+G518+H518+I518+J518</f>
        <v>0</v>
      </c>
      <c r="D518" s="1041">
        <f>D520</f>
        <v>0</v>
      </c>
      <c r="E518" s="1042">
        <f t="shared" si="70"/>
        <v>0</v>
      </c>
      <c r="F518" s="1043">
        <f t="shared" si="70"/>
        <v>0</v>
      </c>
      <c r="G518" s="1044">
        <f t="shared" si="70"/>
        <v>0</v>
      </c>
      <c r="H518" s="1041">
        <f t="shared" si="70"/>
        <v>0</v>
      </c>
      <c r="I518" s="1041">
        <f t="shared" si="70"/>
        <v>0</v>
      </c>
      <c r="J518" s="1045">
        <f t="shared" si="70"/>
        <v>0</v>
      </c>
    </row>
    <row r="519" spans="1:11" ht="11.25" customHeight="1" x14ac:dyDescent="0.15">
      <c r="A519" s="926"/>
      <c r="B519" s="842" t="s">
        <v>72</v>
      </c>
      <c r="C519" s="1057">
        <f t="shared" ref="C519:C520" si="72">D519+E519+F519+G519+H519+I519+J519</f>
        <v>0</v>
      </c>
      <c r="D519" s="1057"/>
      <c r="E519" s="1058"/>
      <c r="F519" s="1059"/>
      <c r="G519" s="1060"/>
      <c r="H519" s="1057"/>
      <c r="I519" s="1057"/>
      <c r="J519" s="1061"/>
    </row>
    <row r="520" spans="1:11" ht="11.25" customHeight="1" x14ac:dyDescent="0.15">
      <c r="A520" s="928"/>
      <c r="B520" s="849" t="s">
        <v>73</v>
      </c>
      <c r="C520" s="1062">
        <f t="shared" si="72"/>
        <v>0</v>
      </c>
      <c r="D520" s="1062"/>
      <c r="E520" s="1063"/>
      <c r="F520" s="1064"/>
      <c r="G520" s="1065"/>
      <c r="H520" s="1062"/>
      <c r="I520" s="1062"/>
      <c r="J520" s="1066"/>
    </row>
    <row r="521" spans="1:11" ht="12" customHeight="1" x14ac:dyDescent="0.15">
      <c r="A521" s="866" t="s">
        <v>332</v>
      </c>
      <c r="B521" s="842" t="s">
        <v>72</v>
      </c>
      <c r="C521" s="843">
        <f>C523</f>
        <v>867</v>
      </c>
      <c r="D521" s="843">
        <f>D523</f>
        <v>0</v>
      </c>
      <c r="E521" s="844">
        <f t="shared" ref="E521:J522" si="73">E523</f>
        <v>0</v>
      </c>
      <c r="F521" s="845">
        <f t="shared" si="73"/>
        <v>867</v>
      </c>
      <c r="G521" s="846">
        <f t="shared" si="73"/>
        <v>0</v>
      </c>
      <c r="H521" s="843">
        <f t="shared" si="73"/>
        <v>0</v>
      </c>
      <c r="I521" s="843">
        <f t="shared" si="73"/>
        <v>0</v>
      </c>
      <c r="J521" s="847">
        <f t="shared" si="73"/>
        <v>0</v>
      </c>
    </row>
    <row r="522" spans="1:11" ht="12.75" customHeight="1" x14ac:dyDescent="0.15">
      <c r="A522" s="867" t="s">
        <v>330</v>
      </c>
      <c r="B522" s="868" t="s">
        <v>73</v>
      </c>
      <c r="C522" s="869">
        <f>C524</f>
        <v>867</v>
      </c>
      <c r="D522" s="869">
        <f>D524</f>
        <v>0</v>
      </c>
      <c r="E522" s="870">
        <f t="shared" si="73"/>
        <v>0</v>
      </c>
      <c r="F522" s="871">
        <f t="shared" si="73"/>
        <v>867</v>
      </c>
      <c r="G522" s="872">
        <f t="shared" si="73"/>
        <v>0</v>
      </c>
      <c r="H522" s="869">
        <f t="shared" si="73"/>
        <v>0</v>
      </c>
      <c r="I522" s="869">
        <f t="shared" si="73"/>
        <v>0</v>
      </c>
      <c r="J522" s="873">
        <f t="shared" si="73"/>
        <v>0</v>
      </c>
    </row>
    <row r="523" spans="1:11" ht="11.25" customHeight="1" x14ac:dyDescent="0.15">
      <c r="A523" s="945" t="s">
        <v>333</v>
      </c>
      <c r="B523" s="875" t="s">
        <v>72</v>
      </c>
      <c r="C523" s="855">
        <f>C525+C533</f>
        <v>867</v>
      </c>
      <c r="D523" s="855">
        <f>D525+D533</f>
        <v>0</v>
      </c>
      <c r="E523" s="856">
        <f t="shared" ref="E523:J524" si="74">E525+E533</f>
        <v>0</v>
      </c>
      <c r="F523" s="857">
        <f t="shared" si="74"/>
        <v>867</v>
      </c>
      <c r="G523" s="858">
        <f t="shared" si="74"/>
        <v>0</v>
      </c>
      <c r="H523" s="855">
        <f t="shared" si="74"/>
        <v>0</v>
      </c>
      <c r="I523" s="855">
        <f t="shared" si="74"/>
        <v>0</v>
      </c>
      <c r="J523" s="859">
        <f t="shared" si="74"/>
        <v>0</v>
      </c>
    </row>
    <row r="524" spans="1:11" x14ac:dyDescent="0.15">
      <c r="A524" s="867" t="s">
        <v>330</v>
      </c>
      <c r="B524" s="876" t="s">
        <v>73</v>
      </c>
      <c r="C524" s="877">
        <f>C526+C534</f>
        <v>867</v>
      </c>
      <c r="D524" s="877">
        <f>D526+D534</f>
        <v>0</v>
      </c>
      <c r="E524" s="878">
        <f t="shared" si="74"/>
        <v>0</v>
      </c>
      <c r="F524" s="879">
        <f t="shared" si="74"/>
        <v>867</v>
      </c>
      <c r="G524" s="880">
        <f t="shared" si="74"/>
        <v>0</v>
      </c>
      <c r="H524" s="877">
        <f t="shared" si="74"/>
        <v>0</v>
      </c>
      <c r="I524" s="877">
        <f t="shared" si="74"/>
        <v>0</v>
      </c>
      <c r="J524" s="881">
        <f t="shared" si="74"/>
        <v>0</v>
      </c>
    </row>
    <row r="525" spans="1:11" x14ac:dyDescent="0.15">
      <c r="A525" s="956" t="s">
        <v>334</v>
      </c>
      <c r="B525" s="842" t="s">
        <v>72</v>
      </c>
      <c r="C525" s="1036">
        <f t="shared" ref="C525" si="75">D525+E525+F525+G525+H525+I525+J525</f>
        <v>867</v>
      </c>
      <c r="D525" s="1036">
        <f>D527+D529+D531</f>
        <v>0</v>
      </c>
      <c r="E525" s="1037">
        <f t="shared" ref="E525:J526" si="76">E527+E529+E531</f>
        <v>0</v>
      </c>
      <c r="F525" s="1038">
        <f t="shared" si="76"/>
        <v>867</v>
      </c>
      <c r="G525" s="1039">
        <f t="shared" si="76"/>
        <v>0</v>
      </c>
      <c r="H525" s="1036">
        <f t="shared" si="76"/>
        <v>0</v>
      </c>
      <c r="I525" s="1036">
        <f t="shared" si="76"/>
        <v>0</v>
      </c>
      <c r="J525" s="1056">
        <f t="shared" si="76"/>
        <v>0</v>
      </c>
    </row>
    <row r="526" spans="1:11" x14ac:dyDescent="0.15">
      <c r="A526" s="957" t="s">
        <v>330</v>
      </c>
      <c r="B526" s="887" t="s">
        <v>73</v>
      </c>
      <c r="C526" s="1046">
        <f>D526+E526+F526+G526+H526+I526+J526</f>
        <v>867</v>
      </c>
      <c r="D526" s="1046">
        <f>D528+D530+D532</f>
        <v>0</v>
      </c>
      <c r="E526" s="1047">
        <f t="shared" si="76"/>
        <v>0</v>
      </c>
      <c r="F526" s="1048">
        <f t="shared" si="76"/>
        <v>867</v>
      </c>
      <c r="G526" s="1049">
        <f t="shared" si="76"/>
        <v>0</v>
      </c>
      <c r="H526" s="1046">
        <f t="shared" si="76"/>
        <v>0</v>
      </c>
      <c r="I526" s="1046">
        <f t="shared" si="76"/>
        <v>0</v>
      </c>
      <c r="J526" s="1050">
        <f t="shared" si="76"/>
        <v>0</v>
      </c>
    </row>
    <row r="527" spans="1:11" ht="17.25" customHeight="1" x14ac:dyDescent="0.15">
      <c r="A527" s="1417" t="s">
        <v>508</v>
      </c>
      <c r="B527" s="963" t="s">
        <v>72</v>
      </c>
      <c r="C527" s="1072">
        <f t="shared" ref="C527:C533" si="77">D527+E527+F527+G527+H527+I527+J527</f>
        <v>560</v>
      </c>
      <c r="D527" s="1072">
        <v>0</v>
      </c>
      <c r="E527" s="1073">
        <v>0</v>
      </c>
      <c r="F527" s="1074">
        <v>560</v>
      </c>
      <c r="G527" s="1075">
        <v>0</v>
      </c>
      <c r="H527" s="1072">
        <v>0</v>
      </c>
      <c r="I527" s="1072">
        <v>0</v>
      </c>
      <c r="J527" s="1076">
        <v>0</v>
      </c>
      <c r="K527" s="1419" t="s">
        <v>338</v>
      </c>
    </row>
    <row r="528" spans="1:11" ht="16.5" customHeight="1" x14ac:dyDescent="0.15">
      <c r="A528" s="1418"/>
      <c r="B528" s="969" t="s">
        <v>73</v>
      </c>
      <c r="C528" s="970">
        <f t="shared" si="77"/>
        <v>560</v>
      </c>
      <c r="D528" s="970">
        <v>0</v>
      </c>
      <c r="E528" s="971">
        <v>0</v>
      </c>
      <c r="F528" s="972">
        <v>560</v>
      </c>
      <c r="G528" s="973">
        <v>0</v>
      </c>
      <c r="H528" s="970">
        <v>0</v>
      </c>
      <c r="I528" s="970">
        <v>0</v>
      </c>
      <c r="J528" s="974">
        <v>0</v>
      </c>
      <c r="K528" s="1420"/>
    </row>
    <row r="529" spans="1:11" ht="15" customHeight="1" x14ac:dyDescent="0.15">
      <c r="A529" s="1417" t="s">
        <v>509</v>
      </c>
      <c r="B529" s="963" t="s">
        <v>72</v>
      </c>
      <c r="C529" s="1072">
        <f t="shared" si="77"/>
        <v>307</v>
      </c>
      <c r="D529" s="1072">
        <v>0</v>
      </c>
      <c r="E529" s="1073">
        <v>0</v>
      </c>
      <c r="F529" s="1074">
        <v>307</v>
      </c>
      <c r="G529" s="1075">
        <v>0</v>
      </c>
      <c r="H529" s="1072">
        <v>0</v>
      </c>
      <c r="I529" s="1072">
        <v>0</v>
      </c>
      <c r="J529" s="1076">
        <v>0</v>
      </c>
      <c r="K529" s="1419" t="s">
        <v>338</v>
      </c>
    </row>
    <row r="530" spans="1:11" ht="15" customHeight="1" x14ac:dyDescent="0.15">
      <c r="A530" s="1418"/>
      <c r="B530" s="969" t="s">
        <v>73</v>
      </c>
      <c r="C530" s="970">
        <f t="shared" si="77"/>
        <v>307</v>
      </c>
      <c r="D530" s="970">
        <v>0</v>
      </c>
      <c r="E530" s="971">
        <v>0</v>
      </c>
      <c r="F530" s="972">
        <v>307</v>
      </c>
      <c r="G530" s="973">
        <v>0</v>
      </c>
      <c r="H530" s="970">
        <v>0</v>
      </c>
      <c r="I530" s="970">
        <v>0</v>
      </c>
      <c r="J530" s="974">
        <v>0</v>
      </c>
      <c r="K530" s="1420"/>
    </row>
    <row r="531" spans="1:11" hidden="1" x14ac:dyDescent="0.15">
      <c r="A531" s="1417" t="s">
        <v>510</v>
      </c>
      <c r="B531" s="963" t="s">
        <v>72</v>
      </c>
      <c r="C531" s="1072">
        <f t="shared" si="77"/>
        <v>0</v>
      </c>
      <c r="D531" s="1072">
        <v>0</v>
      </c>
      <c r="E531" s="1073">
        <v>0</v>
      </c>
      <c r="F531" s="1074">
        <f>4800-4800</f>
        <v>0</v>
      </c>
      <c r="G531" s="1075">
        <v>0</v>
      </c>
      <c r="H531" s="1072">
        <v>0</v>
      </c>
      <c r="I531" s="1072">
        <v>0</v>
      </c>
      <c r="J531" s="1076">
        <v>0</v>
      </c>
      <c r="K531" s="1419" t="s">
        <v>338</v>
      </c>
    </row>
    <row r="532" spans="1:11" hidden="1" x14ac:dyDescent="0.15">
      <c r="A532" s="1418"/>
      <c r="B532" s="969" t="s">
        <v>73</v>
      </c>
      <c r="C532" s="970">
        <f t="shared" si="77"/>
        <v>0</v>
      </c>
      <c r="D532" s="970">
        <v>0</v>
      </c>
      <c r="E532" s="971">
        <v>0</v>
      </c>
      <c r="F532" s="972">
        <f>4800-4800</f>
        <v>0</v>
      </c>
      <c r="G532" s="973">
        <v>0</v>
      </c>
      <c r="H532" s="970">
        <v>0</v>
      </c>
      <c r="I532" s="970">
        <v>0</v>
      </c>
      <c r="J532" s="974">
        <v>0</v>
      </c>
      <c r="K532" s="1420"/>
    </row>
    <row r="533" spans="1:11" x14ac:dyDescent="0.15">
      <c r="A533" s="993" t="s">
        <v>342</v>
      </c>
      <c r="B533" s="875" t="s">
        <v>72</v>
      </c>
      <c r="C533" s="1036">
        <f t="shared" si="77"/>
        <v>0</v>
      </c>
      <c r="D533" s="1036">
        <f>D535</f>
        <v>0</v>
      </c>
      <c r="E533" s="1037">
        <f t="shared" ref="E533:J534" si="78">E535</f>
        <v>0</v>
      </c>
      <c r="F533" s="1038">
        <f t="shared" si="78"/>
        <v>0</v>
      </c>
      <c r="G533" s="1039">
        <f t="shared" si="78"/>
        <v>0</v>
      </c>
      <c r="H533" s="1036">
        <f t="shared" si="78"/>
        <v>0</v>
      </c>
      <c r="I533" s="1036">
        <f t="shared" si="78"/>
        <v>0</v>
      </c>
      <c r="J533" s="1040">
        <f t="shared" si="78"/>
        <v>0</v>
      </c>
    </row>
    <row r="534" spans="1:11" x14ac:dyDescent="0.15">
      <c r="A534" s="994" t="s">
        <v>330</v>
      </c>
      <c r="B534" s="995" t="s">
        <v>73</v>
      </c>
      <c r="C534" s="1051">
        <f>D534+E534+F534+G534+H534+I534+J534</f>
        <v>0</v>
      </c>
      <c r="D534" s="1051">
        <f>D536</f>
        <v>0</v>
      </c>
      <c r="E534" s="1052">
        <f t="shared" si="78"/>
        <v>0</v>
      </c>
      <c r="F534" s="1053">
        <f t="shared" si="78"/>
        <v>0</v>
      </c>
      <c r="G534" s="1054">
        <f t="shared" si="78"/>
        <v>0</v>
      </c>
      <c r="H534" s="1051">
        <f t="shared" si="78"/>
        <v>0</v>
      </c>
      <c r="I534" s="1051">
        <f t="shared" si="78"/>
        <v>0</v>
      </c>
      <c r="J534" s="1055">
        <f t="shared" si="78"/>
        <v>0</v>
      </c>
    </row>
    <row r="535" spans="1:11" ht="11.25" customHeight="1" x14ac:dyDescent="0.15">
      <c r="A535" s="1001"/>
      <c r="B535" s="963" t="s">
        <v>72</v>
      </c>
      <c r="C535" s="1077">
        <f t="shared" ref="C535:C536" si="79">D535+E535+F535+G535+H535+I535+J535</f>
        <v>0</v>
      </c>
      <c r="D535" s="964"/>
      <c r="E535" s="965"/>
      <c r="F535" s="966"/>
      <c r="G535" s="967"/>
      <c r="H535" s="964"/>
      <c r="I535" s="964"/>
      <c r="J535" s="968"/>
    </row>
    <row r="536" spans="1:11" ht="12" customHeight="1" x14ac:dyDescent="0.15">
      <c r="A536" s="1002"/>
      <c r="B536" s="1003" t="s">
        <v>73</v>
      </c>
      <c r="C536" s="1004">
        <f t="shared" si="79"/>
        <v>0</v>
      </c>
      <c r="D536" s="1004"/>
      <c r="E536" s="1005"/>
      <c r="F536" s="1006"/>
      <c r="G536" s="1007"/>
      <c r="H536" s="1004"/>
      <c r="I536" s="1004"/>
      <c r="J536" s="1008"/>
    </row>
    <row r="537" spans="1:11" ht="38.25" customHeight="1" x14ac:dyDescent="0.15">
      <c r="A537" s="1451" t="s">
        <v>511</v>
      </c>
      <c r="B537" s="1452"/>
      <c r="C537" s="1452"/>
      <c r="D537" s="1452"/>
      <c r="E537" s="1452"/>
      <c r="F537" s="1452"/>
      <c r="G537" s="1452"/>
      <c r="H537" s="1452"/>
      <c r="I537" s="1452"/>
      <c r="J537" s="1453"/>
    </row>
    <row r="538" spans="1:11" x14ac:dyDescent="0.15">
      <c r="A538" s="1413" t="s">
        <v>328</v>
      </c>
      <c r="B538" s="875" t="s">
        <v>72</v>
      </c>
      <c r="C538" s="905">
        <f>D538+E538+F538+G538+H538+I538+J538</f>
        <v>0</v>
      </c>
      <c r="D538" s="905">
        <f t="shared" ref="D538:J539" si="80">D540+D546</f>
        <v>0</v>
      </c>
      <c r="E538" s="906">
        <f t="shared" si="80"/>
        <v>0</v>
      </c>
      <c r="F538" s="832">
        <f t="shared" si="80"/>
        <v>0</v>
      </c>
      <c r="G538" s="907">
        <f t="shared" si="80"/>
        <v>0</v>
      </c>
      <c r="H538" s="905">
        <f t="shared" si="80"/>
        <v>0</v>
      </c>
      <c r="I538" s="905">
        <f t="shared" si="80"/>
        <v>0</v>
      </c>
      <c r="J538" s="908">
        <f t="shared" si="80"/>
        <v>0</v>
      </c>
    </row>
    <row r="539" spans="1:11" ht="12" customHeight="1" thickBot="1" x14ac:dyDescent="0.2">
      <c r="A539" s="1414"/>
      <c r="B539" s="909" t="s">
        <v>73</v>
      </c>
      <c r="C539" s="1013">
        <f>D539+E539+F539+G539+H539+I539+J539</f>
        <v>0</v>
      </c>
      <c r="D539" s="1013">
        <f t="shared" si="80"/>
        <v>0</v>
      </c>
      <c r="E539" s="1014">
        <f t="shared" si="80"/>
        <v>0</v>
      </c>
      <c r="F539" s="1015">
        <f t="shared" si="80"/>
        <v>0</v>
      </c>
      <c r="G539" s="1016">
        <f t="shared" si="80"/>
        <v>0</v>
      </c>
      <c r="H539" s="1013">
        <f t="shared" si="80"/>
        <v>0</v>
      </c>
      <c r="I539" s="1013">
        <f t="shared" si="80"/>
        <v>0</v>
      </c>
      <c r="J539" s="1017">
        <f t="shared" si="80"/>
        <v>0</v>
      </c>
    </row>
    <row r="540" spans="1:11" x14ac:dyDescent="0.15">
      <c r="A540" s="841" t="s">
        <v>329</v>
      </c>
      <c r="B540" s="842" t="s">
        <v>72</v>
      </c>
      <c r="C540" s="843">
        <f>C542</f>
        <v>0</v>
      </c>
      <c r="D540" s="843">
        <f>D542</f>
        <v>0</v>
      </c>
      <c r="E540" s="844">
        <f t="shared" ref="E540:J543" si="81">E542</f>
        <v>0</v>
      </c>
      <c r="F540" s="845">
        <f t="shared" si="81"/>
        <v>0</v>
      </c>
      <c r="G540" s="846">
        <f t="shared" si="81"/>
        <v>0</v>
      </c>
      <c r="H540" s="843">
        <f t="shared" si="81"/>
        <v>0</v>
      </c>
      <c r="I540" s="843">
        <f t="shared" si="81"/>
        <v>0</v>
      </c>
      <c r="J540" s="847">
        <f t="shared" si="81"/>
        <v>0</v>
      </c>
    </row>
    <row r="541" spans="1:11" x14ac:dyDescent="0.15">
      <c r="A541" s="848" t="s">
        <v>330</v>
      </c>
      <c r="B541" s="849" t="s">
        <v>73</v>
      </c>
      <c r="C541" s="1031">
        <f>C543</f>
        <v>0</v>
      </c>
      <c r="D541" s="1031">
        <f>D543</f>
        <v>0</v>
      </c>
      <c r="E541" s="1032">
        <f t="shared" si="81"/>
        <v>0</v>
      </c>
      <c r="F541" s="1033">
        <f t="shared" si="81"/>
        <v>0</v>
      </c>
      <c r="G541" s="1034">
        <f t="shared" si="81"/>
        <v>0</v>
      </c>
      <c r="H541" s="1031">
        <f t="shared" si="81"/>
        <v>0</v>
      </c>
      <c r="I541" s="1031">
        <f t="shared" si="81"/>
        <v>0</v>
      </c>
      <c r="J541" s="1035">
        <f t="shared" si="81"/>
        <v>0</v>
      </c>
    </row>
    <row r="542" spans="1:11" ht="12.75" customHeight="1" x14ac:dyDescent="0.15">
      <c r="A542" s="1415" t="s">
        <v>331</v>
      </c>
      <c r="B542" s="842" t="s">
        <v>72</v>
      </c>
      <c r="C542" s="1036">
        <f t="shared" ref="C542" si="82">D542+E542+F542+G542+H542+I542+J542</f>
        <v>0</v>
      </c>
      <c r="D542" s="1036">
        <f>D544</f>
        <v>0</v>
      </c>
      <c r="E542" s="1037">
        <f t="shared" si="81"/>
        <v>0</v>
      </c>
      <c r="F542" s="1038">
        <f t="shared" si="81"/>
        <v>0</v>
      </c>
      <c r="G542" s="1039">
        <f t="shared" si="81"/>
        <v>0</v>
      </c>
      <c r="H542" s="1036">
        <f t="shared" si="81"/>
        <v>0</v>
      </c>
      <c r="I542" s="1036">
        <f t="shared" si="81"/>
        <v>0</v>
      </c>
      <c r="J542" s="1056">
        <f t="shared" si="81"/>
        <v>0</v>
      </c>
    </row>
    <row r="543" spans="1:11" x14ac:dyDescent="0.15">
      <c r="A543" s="1416"/>
      <c r="B543" s="849" t="s">
        <v>73</v>
      </c>
      <c r="C543" s="1041">
        <f>D543+E543+F543+G543+H543+I543+J543</f>
        <v>0</v>
      </c>
      <c r="D543" s="1041">
        <f>D545</f>
        <v>0</v>
      </c>
      <c r="E543" s="1042">
        <f t="shared" si="81"/>
        <v>0</v>
      </c>
      <c r="F543" s="1043">
        <f t="shared" si="81"/>
        <v>0</v>
      </c>
      <c r="G543" s="1044">
        <f t="shared" si="81"/>
        <v>0</v>
      </c>
      <c r="H543" s="1041">
        <f t="shared" si="81"/>
        <v>0</v>
      </c>
      <c r="I543" s="1041">
        <f t="shared" si="81"/>
        <v>0</v>
      </c>
      <c r="J543" s="1045">
        <f t="shared" si="81"/>
        <v>0</v>
      </c>
    </row>
    <row r="544" spans="1:11" x14ac:dyDescent="0.15">
      <c r="A544" s="926"/>
      <c r="B544" s="842" t="s">
        <v>72</v>
      </c>
      <c r="C544" s="1057">
        <f t="shared" ref="C544:C545" si="83">D544+E544+F544+G544+H544+I544+J544</f>
        <v>0</v>
      </c>
      <c r="D544" s="1057"/>
      <c r="E544" s="1058"/>
      <c r="F544" s="1059"/>
      <c r="G544" s="1060"/>
      <c r="H544" s="1057"/>
      <c r="I544" s="1057"/>
      <c r="J544" s="1061"/>
    </row>
    <row r="545" spans="1:10" x14ac:dyDescent="0.15">
      <c r="A545" s="928"/>
      <c r="B545" s="849" t="s">
        <v>73</v>
      </c>
      <c r="C545" s="1062">
        <f t="shared" si="83"/>
        <v>0</v>
      </c>
      <c r="D545" s="1062"/>
      <c r="E545" s="1063"/>
      <c r="F545" s="1064"/>
      <c r="G545" s="1065"/>
      <c r="H545" s="1062"/>
      <c r="I545" s="1062"/>
      <c r="J545" s="1066"/>
    </row>
    <row r="546" spans="1:10" x14ac:dyDescent="0.15">
      <c r="A546" s="866" t="s">
        <v>332</v>
      </c>
      <c r="B546" s="842" t="s">
        <v>72</v>
      </c>
      <c r="C546" s="843">
        <f>C548</f>
        <v>0</v>
      </c>
      <c r="D546" s="843">
        <f>D548</f>
        <v>0</v>
      </c>
      <c r="E546" s="844">
        <f t="shared" ref="E546:J547" si="84">E548</f>
        <v>0</v>
      </c>
      <c r="F546" s="845">
        <f t="shared" si="84"/>
        <v>0</v>
      </c>
      <c r="G546" s="846">
        <f t="shared" si="84"/>
        <v>0</v>
      </c>
      <c r="H546" s="843">
        <f t="shared" si="84"/>
        <v>0</v>
      </c>
      <c r="I546" s="843">
        <f t="shared" si="84"/>
        <v>0</v>
      </c>
      <c r="J546" s="847">
        <f t="shared" si="84"/>
        <v>0</v>
      </c>
    </row>
    <row r="547" spans="1:10" x14ac:dyDescent="0.15">
      <c r="A547" s="867" t="s">
        <v>330</v>
      </c>
      <c r="B547" s="868" t="s">
        <v>73</v>
      </c>
      <c r="C547" s="869">
        <f>C549</f>
        <v>0</v>
      </c>
      <c r="D547" s="869">
        <f>D549</f>
        <v>0</v>
      </c>
      <c r="E547" s="870">
        <f t="shared" si="84"/>
        <v>0</v>
      </c>
      <c r="F547" s="871">
        <f t="shared" si="84"/>
        <v>0</v>
      </c>
      <c r="G547" s="872">
        <f t="shared" si="84"/>
        <v>0</v>
      </c>
      <c r="H547" s="869">
        <f t="shared" si="84"/>
        <v>0</v>
      </c>
      <c r="I547" s="869">
        <f t="shared" si="84"/>
        <v>0</v>
      </c>
      <c r="J547" s="873">
        <f t="shared" si="84"/>
        <v>0</v>
      </c>
    </row>
    <row r="548" spans="1:10" ht="13.5" customHeight="1" x14ac:dyDescent="0.15">
      <c r="A548" s="945" t="s">
        <v>333</v>
      </c>
      <c r="B548" s="875" t="s">
        <v>72</v>
      </c>
      <c r="C548" s="855">
        <f t="shared" ref="C548:J549" si="85">C550+C556</f>
        <v>0</v>
      </c>
      <c r="D548" s="855">
        <f t="shared" si="85"/>
        <v>0</v>
      </c>
      <c r="E548" s="856">
        <f t="shared" si="85"/>
        <v>0</v>
      </c>
      <c r="F548" s="857">
        <f t="shared" si="85"/>
        <v>0</v>
      </c>
      <c r="G548" s="858">
        <f t="shared" si="85"/>
        <v>0</v>
      </c>
      <c r="H548" s="855">
        <f t="shared" si="85"/>
        <v>0</v>
      </c>
      <c r="I548" s="855">
        <f t="shared" si="85"/>
        <v>0</v>
      </c>
      <c r="J548" s="859">
        <f t="shared" si="85"/>
        <v>0</v>
      </c>
    </row>
    <row r="549" spans="1:10" ht="13.5" customHeight="1" x14ac:dyDescent="0.15">
      <c r="A549" s="867" t="s">
        <v>330</v>
      </c>
      <c r="B549" s="876" t="s">
        <v>73</v>
      </c>
      <c r="C549" s="877">
        <f t="shared" si="85"/>
        <v>0</v>
      </c>
      <c r="D549" s="877">
        <f t="shared" si="85"/>
        <v>0</v>
      </c>
      <c r="E549" s="878">
        <f t="shared" si="85"/>
        <v>0</v>
      </c>
      <c r="F549" s="879">
        <f t="shared" si="85"/>
        <v>0</v>
      </c>
      <c r="G549" s="880">
        <f t="shared" si="85"/>
        <v>0</v>
      </c>
      <c r="H549" s="877">
        <f t="shared" si="85"/>
        <v>0</v>
      </c>
      <c r="I549" s="877">
        <f t="shared" si="85"/>
        <v>0</v>
      </c>
      <c r="J549" s="881">
        <f t="shared" si="85"/>
        <v>0</v>
      </c>
    </row>
    <row r="550" spans="1:10" ht="13.5" customHeight="1" x14ac:dyDescent="0.15">
      <c r="A550" s="956" t="s">
        <v>334</v>
      </c>
      <c r="B550" s="842" t="s">
        <v>72</v>
      </c>
      <c r="C550" s="1036">
        <f t="shared" ref="C550" si="86">D550+E550+F550+G550+H550+I550+J550</f>
        <v>0</v>
      </c>
      <c r="D550" s="1036">
        <f>D552+D554</f>
        <v>0</v>
      </c>
      <c r="E550" s="1037">
        <f t="shared" ref="E550:J551" si="87">E552+E554</f>
        <v>0</v>
      </c>
      <c r="F550" s="1038">
        <f t="shared" si="87"/>
        <v>0</v>
      </c>
      <c r="G550" s="1039">
        <f t="shared" si="87"/>
        <v>0</v>
      </c>
      <c r="H550" s="1036">
        <f t="shared" si="87"/>
        <v>0</v>
      </c>
      <c r="I550" s="1036">
        <f t="shared" si="87"/>
        <v>0</v>
      </c>
      <c r="J550" s="1056">
        <f t="shared" si="87"/>
        <v>0</v>
      </c>
    </row>
    <row r="551" spans="1:10" ht="13.5" customHeight="1" x14ac:dyDescent="0.15">
      <c r="A551" s="957" t="s">
        <v>330</v>
      </c>
      <c r="B551" s="887" t="s">
        <v>73</v>
      </c>
      <c r="C551" s="1046">
        <f>D551+E551+F551+G551+H551+I551+J551</f>
        <v>0</v>
      </c>
      <c r="D551" s="1046">
        <f>D553+D555</f>
        <v>0</v>
      </c>
      <c r="E551" s="1047">
        <f t="shared" si="87"/>
        <v>0</v>
      </c>
      <c r="F551" s="1048">
        <f t="shared" si="87"/>
        <v>0</v>
      </c>
      <c r="G551" s="1049">
        <f t="shared" si="87"/>
        <v>0</v>
      </c>
      <c r="H551" s="1046">
        <f t="shared" si="87"/>
        <v>0</v>
      </c>
      <c r="I551" s="1046">
        <f t="shared" si="87"/>
        <v>0</v>
      </c>
      <c r="J551" s="1050">
        <f t="shared" si="87"/>
        <v>0</v>
      </c>
    </row>
    <row r="552" spans="1:10" ht="13.5" customHeight="1" x14ac:dyDescent="0.15">
      <c r="A552" s="1001"/>
      <c r="B552" s="963" t="s">
        <v>72</v>
      </c>
      <c r="C552" s="1072">
        <f t="shared" ref="C552:C556" si="88">D552+E552+F552+G552+H552+I552+J552</f>
        <v>0</v>
      </c>
      <c r="D552" s="1072"/>
      <c r="E552" s="1073"/>
      <c r="F552" s="1074"/>
      <c r="G552" s="1075"/>
      <c r="H552" s="1072"/>
      <c r="I552" s="1072"/>
      <c r="J552" s="1076"/>
    </row>
    <row r="553" spans="1:10" x14ac:dyDescent="0.15">
      <c r="A553" s="1002"/>
      <c r="B553" s="969" t="s">
        <v>73</v>
      </c>
      <c r="C553" s="970">
        <f t="shared" si="88"/>
        <v>0</v>
      </c>
      <c r="D553" s="970"/>
      <c r="E553" s="971"/>
      <c r="F553" s="972"/>
      <c r="G553" s="973"/>
      <c r="H553" s="970"/>
      <c r="I553" s="970"/>
      <c r="J553" s="974"/>
    </row>
    <row r="554" spans="1:10" hidden="1" x14ac:dyDescent="0.15">
      <c r="A554" s="1001"/>
      <c r="B554" s="963" t="s">
        <v>72</v>
      </c>
      <c r="C554" s="1072">
        <f t="shared" si="88"/>
        <v>0</v>
      </c>
      <c r="D554" s="1072"/>
      <c r="E554" s="1073"/>
      <c r="F554" s="1074"/>
      <c r="G554" s="1075"/>
      <c r="H554" s="1072"/>
      <c r="I554" s="1072"/>
      <c r="J554" s="1076"/>
    </row>
    <row r="555" spans="1:10" hidden="1" x14ac:dyDescent="0.15">
      <c r="A555" s="1002"/>
      <c r="B555" s="969" t="s">
        <v>73</v>
      </c>
      <c r="C555" s="970">
        <f t="shared" si="88"/>
        <v>0</v>
      </c>
      <c r="D555" s="970"/>
      <c r="E555" s="971"/>
      <c r="F555" s="972"/>
      <c r="G555" s="973"/>
      <c r="H555" s="970"/>
      <c r="I555" s="970"/>
      <c r="J555" s="974"/>
    </row>
    <row r="556" spans="1:10" x14ac:dyDescent="0.15">
      <c r="A556" s="993" t="s">
        <v>342</v>
      </c>
      <c r="B556" s="875" t="s">
        <v>72</v>
      </c>
      <c r="C556" s="1036">
        <f t="shared" si="88"/>
        <v>0</v>
      </c>
      <c r="D556" s="1036">
        <f>D558+D560</f>
        <v>0</v>
      </c>
      <c r="E556" s="1037">
        <f t="shared" ref="E556:J557" si="89">E558+E560</f>
        <v>0</v>
      </c>
      <c r="F556" s="1038">
        <f t="shared" si="89"/>
        <v>0</v>
      </c>
      <c r="G556" s="1039">
        <f t="shared" si="89"/>
        <v>0</v>
      </c>
      <c r="H556" s="1036">
        <f t="shared" si="89"/>
        <v>0</v>
      </c>
      <c r="I556" s="1036">
        <f t="shared" si="89"/>
        <v>0</v>
      </c>
      <c r="J556" s="1040">
        <f t="shared" si="89"/>
        <v>0</v>
      </c>
    </row>
    <row r="557" spans="1:10" x14ac:dyDescent="0.15">
      <c r="A557" s="994" t="s">
        <v>330</v>
      </c>
      <c r="B557" s="995" t="s">
        <v>73</v>
      </c>
      <c r="C557" s="1051">
        <f>D557+E557+F557+G557+H557+I557+J557</f>
        <v>0</v>
      </c>
      <c r="D557" s="1051">
        <f>D559+D561</f>
        <v>0</v>
      </c>
      <c r="E557" s="1052">
        <f t="shared" si="89"/>
        <v>0</v>
      </c>
      <c r="F557" s="1053">
        <f t="shared" si="89"/>
        <v>0</v>
      </c>
      <c r="G557" s="1054">
        <f t="shared" si="89"/>
        <v>0</v>
      </c>
      <c r="H557" s="1051">
        <f t="shared" si="89"/>
        <v>0</v>
      </c>
      <c r="I557" s="1051">
        <f t="shared" si="89"/>
        <v>0</v>
      </c>
      <c r="J557" s="1055">
        <f t="shared" si="89"/>
        <v>0</v>
      </c>
    </row>
    <row r="558" spans="1:10" x14ac:dyDescent="0.15">
      <c r="A558" s="1001"/>
      <c r="B558" s="963" t="s">
        <v>72</v>
      </c>
      <c r="C558" s="1077">
        <f t="shared" ref="C558:C561" si="90">D558+E558+F558+G558+H558+I558+J558</f>
        <v>0</v>
      </c>
      <c r="D558" s="964"/>
      <c r="E558" s="965"/>
      <c r="F558" s="966"/>
      <c r="G558" s="967"/>
      <c r="H558" s="964"/>
      <c r="I558" s="964"/>
      <c r="J558" s="968"/>
    </row>
    <row r="559" spans="1:10" x14ac:dyDescent="0.15">
      <c r="A559" s="1002"/>
      <c r="B559" s="1003" t="s">
        <v>73</v>
      </c>
      <c r="C559" s="1004">
        <f t="shared" si="90"/>
        <v>0</v>
      </c>
      <c r="D559" s="1004"/>
      <c r="E559" s="1005"/>
      <c r="F559" s="1006"/>
      <c r="G559" s="1007"/>
      <c r="H559" s="1004"/>
      <c r="I559" s="1004"/>
      <c r="J559" s="1008"/>
    </row>
    <row r="560" spans="1:10" hidden="1" x14ac:dyDescent="0.15">
      <c r="A560" s="1001"/>
      <c r="B560" s="963" t="s">
        <v>72</v>
      </c>
      <c r="C560" s="964">
        <f t="shared" si="90"/>
        <v>0</v>
      </c>
      <c r="D560" s="964"/>
      <c r="E560" s="965"/>
      <c r="F560" s="966"/>
      <c r="G560" s="967"/>
      <c r="H560" s="964"/>
      <c r="I560" s="964"/>
      <c r="J560" s="968"/>
    </row>
    <row r="561" spans="1:10" hidden="1" x14ac:dyDescent="0.15">
      <c r="A561" s="1002"/>
      <c r="B561" s="1003" t="s">
        <v>73</v>
      </c>
      <c r="C561" s="1004">
        <f t="shared" si="90"/>
        <v>0</v>
      </c>
      <c r="D561" s="1004"/>
      <c r="E561" s="1005"/>
      <c r="F561" s="1006"/>
      <c r="G561" s="1007"/>
      <c r="H561" s="1004"/>
      <c r="I561" s="1004"/>
      <c r="J561" s="1008"/>
    </row>
    <row r="562" spans="1:10" ht="30.75" customHeight="1" x14ac:dyDescent="0.15">
      <c r="A562" s="1451" t="s">
        <v>512</v>
      </c>
      <c r="B562" s="1452"/>
      <c r="C562" s="1452"/>
      <c r="D562" s="1452"/>
      <c r="E562" s="1452"/>
      <c r="F562" s="1452"/>
      <c r="G562" s="1452"/>
      <c r="H562" s="1452"/>
      <c r="I562" s="1452"/>
      <c r="J562" s="1453"/>
    </row>
    <row r="563" spans="1:10" x14ac:dyDescent="0.15">
      <c r="A563" s="1413" t="s">
        <v>328</v>
      </c>
      <c r="B563" s="875" t="s">
        <v>72</v>
      </c>
      <c r="C563" s="905">
        <f>D563+E563+F563+G563+H563+I563+J563</f>
        <v>15315</v>
      </c>
      <c r="D563" s="905">
        <f t="shared" ref="D563:J564" si="91">D565+D573</f>
        <v>0</v>
      </c>
      <c r="E563" s="906">
        <f t="shared" si="91"/>
        <v>15206</v>
      </c>
      <c r="F563" s="832">
        <f t="shared" si="91"/>
        <v>109</v>
      </c>
      <c r="G563" s="907">
        <f t="shared" si="91"/>
        <v>0</v>
      </c>
      <c r="H563" s="905">
        <f t="shared" si="91"/>
        <v>0</v>
      </c>
      <c r="I563" s="905">
        <f t="shared" si="91"/>
        <v>0</v>
      </c>
      <c r="J563" s="908">
        <f t="shared" si="91"/>
        <v>0</v>
      </c>
    </row>
    <row r="564" spans="1:10" ht="14" thickBot="1" x14ac:dyDescent="0.2">
      <c r="A564" s="1414"/>
      <c r="B564" s="909" t="s">
        <v>73</v>
      </c>
      <c r="C564" s="1013">
        <f>D564+E564+F564+G564+H564+I564+J564</f>
        <v>15315</v>
      </c>
      <c r="D564" s="1013">
        <f t="shared" si="91"/>
        <v>0</v>
      </c>
      <c r="E564" s="1014">
        <f t="shared" si="91"/>
        <v>15206</v>
      </c>
      <c r="F564" s="1015">
        <f t="shared" si="91"/>
        <v>109</v>
      </c>
      <c r="G564" s="1016">
        <f t="shared" si="91"/>
        <v>0</v>
      </c>
      <c r="H564" s="1013">
        <f t="shared" si="91"/>
        <v>0</v>
      </c>
      <c r="I564" s="1013">
        <f t="shared" si="91"/>
        <v>0</v>
      </c>
      <c r="J564" s="1017">
        <f t="shared" si="91"/>
        <v>0</v>
      </c>
    </row>
    <row r="565" spans="1:10" x14ac:dyDescent="0.15">
      <c r="A565" s="841" t="s">
        <v>329</v>
      </c>
      <c r="B565" s="842" t="s">
        <v>72</v>
      </c>
      <c r="C565" s="843">
        <f>C567</f>
        <v>0</v>
      </c>
      <c r="D565" s="843">
        <f>D567</f>
        <v>0</v>
      </c>
      <c r="E565" s="844">
        <f t="shared" ref="E565:J566" si="92">E567</f>
        <v>0</v>
      </c>
      <c r="F565" s="845">
        <f t="shared" si="92"/>
        <v>0</v>
      </c>
      <c r="G565" s="846">
        <f t="shared" si="92"/>
        <v>0</v>
      </c>
      <c r="H565" s="843">
        <f t="shared" si="92"/>
        <v>0</v>
      </c>
      <c r="I565" s="843">
        <f t="shared" si="92"/>
        <v>0</v>
      </c>
      <c r="J565" s="847">
        <f t="shared" si="92"/>
        <v>0</v>
      </c>
    </row>
    <row r="566" spans="1:10" x14ac:dyDescent="0.15">
      <c r="A566" s="848" t="s">
        <v>330</v>
      </c>
      <c r="B566" s="849" t="s">
        <v>73</v>
      </c>
      <c r="C566" s="1031">
        <f>C568</f>
        <v>0</v>
      </c>
      <c r="D566" s="1031">
        <f>D568</f>
        <v>0</v>
      </c>
      <c r="E566" s="1032">
        <f t="shared" si="92"/>
        <v>0</v>
      </c>
      <c r="F566" s="1033">
        <f t="shared" si="92"/>
        <v>0</v>
      </c>
      <c r="G566" s="1034">
        <f t="shared" si="92"/>
        <v>0</v>
      </c>
      <c r="H566" s="1031">
        <f t="shared" si="92"/>
        <v>0</v>
      </c>
      <c r="I566" s="1031">
        <f t="shared" si="92"/>
        <v>0</v>
      </c>
      <c r="J566" s="1035">
        <f t="shared" si="92"/>
        <v>0</v>
      </c>
    </row>
    <row r="567" spans="1:10" ht="12.75" customHeight="1" x14ac:dyDescent="0.15">
      <c r="A567" s="1415" t="s">
        <v>331</v>
      </c>
      <c r="B567" s="842" t="s">
        <v>72</v>
      </c>
      <c r="C567" s="1036">
        <f t="shared" ref="C567" si="93">D567+E567+F567+G567+H567+I567+J567</f>
        <v>0</v>
      </c>
      <c r="D567" s="1036">
        <f>D569+D571</f>
        <v>0</v>
      </c>
      <c r="E567" s="1037">
        <f t="shared" ref="E567:J568" si="94">E569+E571</f>
        <v>0</v>
      </c>
      <c r="F567" s="1038">
        <f t="shared" si="94"/>
        <v>0</v>
      </c>
      <c r="G567" s="1039">
        <f t="shared" si="94"/>
        <v>0</v>
      </c>
      <c r="H567" s="1036">
        <f t="shared" si="94"/>
        <v>0</v>
      </c>
      <c r="I567" s="1036">
        <f t="shared" si="94"/>
        <v>0</v>
      </c>
      <c r="J567" s="1056">
        <f t="shared" si="94"/>
        <v>0</v>
      </c>
    </row>
    <row r="568" spans="1:10" x14ac:dyDescent="0.15">
      <c r="A568" s="1416"/>
      <c r="B568" s="849" t="s">
        <v>73</v>
      </c>
      <c r="C568" s="1041">
        <f>D568+E568+F568+G568+H568+I568+J568</f>
        <v>0</v>
      </c>
      <c r="D568" s="1041">
        <f>D570+D572</f>
        <v>0</v>
      </c>
      <c r="E568" s="1042">
        <f t="shared" si="94"/>
        <v>0</v>
      </c>
      <c r="F568" s="1043">
        <f t="shared" si="94"/>
        <v>0</v>
      </c>
      <c r="G568" s="1044">
        <f t="shared" si="94"/>
        <v>0</v>
      </c>
      <c r="H568" s="1041">
        <f t="shared" si="94"/>
        <v>0</v>
      </c>
      <c r="I568" s="1041">
        <f t="shared" si="94"/>
        <v>0</v>
      </c>
      <c r="J568" s="1045">
        <f t="shared" si="94"/>
        <v>0</v>
      </c>
    </row>
    <row r="569" spans="1:10" x14ac:dyDescent="0.15">
      <c r="A569" s="926"/>
      <c r="B569" s="842" t="s">
        <v>72</v>
      </c>
      <c r="C569" s="1057">
        <f t="shared" ref="C569:C572" si="95">D569+E569+F569+G569+H569+I569+J569</f>
        <v>0</v>
      </c>
      <c r="D569" s="1057"/>
      <c r="E569" s="1058"/>
      <c r="F569" s="1059"/>
      <c r="G569" s="1060"/>
      <c r="H569" s="1057"/>
      <c r="I569" s="1057"/>
      <c r="J569" s="1061"/>
    </row>
    <row r="570" spans="1:10" x14ac:dyDescent="0.15">
      <c r="A570" s="928"/>
      <c r="B570" s="849" t="s">
        <v>73</v>
      </c>
      <c r="C570" s="1062">
        <f t="shared" si="95"/>
        <v>0</v>
      </c>
      <c r="D570" s="1062"/>
      <c r="E570" s="1063"/>
      <c r="F570" s="1064"/>
      <c r="G570" s="1065"/>
      <c r="H570" s="1062"/>
      <c r="I570" s="1062"/>
      <c r="J570" s="1066"/>
    </row>
    <row r="571" spans="1:10" hidden="1" x14ac:dyDescent="0.15">
      <c r="A571" s="926"/>
      <c r="B571" s="875" t="s">
        <v>72</v>
      </c>
      <c r="C571" s="1057">
        <f t="shared" si="95"/>
        <v>0</v>
      </c>
      <c r="D571" s="1057"/>
      <c r="E571" s="1058"/>
      <c r="F571" s="1059"/>
      <c r="G571" s="1060"/>
      <c r="H571" s="1057"/>
      <c r="I571" s="1057"/>
      <c r="J571" s="1061"/>
    </row>
    <row r="572" spans="1:10" hidden="1" x14ac:dyDescent="0.15">
      <c r="A572" s="928"/>
      <c r="B572" s="849" t="s">
        <v>73</v>
      </c>
      <c r="C572" s="1079">
        <f t="shared" si="95"/>
        <v>0</v>
      </c>
      <c r="D572" s="1079"/>
      <c r="E572" s="1101"/>
      <c r="F572" s="1102"/>
      <c r="G572" s="1103"/>
      <c r="H572" s="1079"/>
      <c r="I572" s="1079"/>
      <c r="J572" s="1104"/>
    </row>
    <row r="573" spans="1:10" ht="13.5" customHeight="1" x14ac:dyDescent="0.15">
      <c r="A573" s="866" t="s">
        <v>332</v>
      </c>
      <c r="B573" s="842" t="s">
        <v>72</v>
      </c>
      <c r="C573" s="843">
        <f>C575</f>
        <v>15315</v>
      </c>
      <c r="D573" s="843">
        <f>D575</f>
        <v>0</v>
      </c>
      <c r="E573" s="844">
        <f t="shared" ref="E573:J574" si="96">E575</f>
        <v>15206</v>
      </c>
      <c r="F573" s="845">
        <f t="shared" si="96"/>
        <v>109</v>
      </c>
      <c r="G573" s="846">
        <f t="shared" si="96"/>
        <v>0</v>
      </c>
      <c r="H573" s="843">
        <f t="shared" si="96"/>
        <v>0</v>
      </c>
      <c r="I573" s="843">
        <f t="shared" si="96"/>
        <v>0</v>
      </c>
      <c r="J573" s="847">
        <f t="shared" si="96"/>
        <v>0</v>
      </c>
    </row>
    <row r="574" spans="1:10" ht="12" customHeight="1" x14ac:dyDescent="0.15">
      <c r="A574" s="867" t="s">
        <v>330</v>
      </c>
      <c r="B574" s="868" t="s">
        <v>73</v>
      </c>
      <c r="C574" s="869">
        <f>C576</f>
        <v>15315</v>
      </c>
      <c r="D574" s="869">
        <f>D576</f>
        <v>0</v>
      </c>
      <c r="E574" s="870">
        <f t="shared" si="96"/>
        <v>15206</v>
      </c>
      <c r="F574" s="871">
        <f t="shared" si="96"/>
        <v>109</v>
      </c>
      <c r="G574" s="872">
        <f t="shared" si="96"/>
        <v>0</v>
      </c>
      <c r="H574" s="869">
        <f t="shared" si="96"/>
        <v>0</v>
      </c>
      <c r="I574" s="869">
        <f t="shared" si="96"/>
        <v>0</v>
      </c>
      <c r="J574" s="873">
        <f t="shared" si="96"/>
        <v>0</v>
      </c>
    </row>
    <row r="575" spans="1:10" x14ac:dyDescent="0.15">
      <c r="A575" s="945" t="s">
        <v>333</v>
      </c>
      <c r="B575" s="875" t="s">
        <v>72</v>
      </c>
      <c r="C575" s="855">
        <f t="shared" ref="C575:J576" si="97">C577+C583</f>
        <v>15315</v>
      </c>
      <c r="D575" s="855">
        <f t="shared" si="97"/>
        <v>0</v>
      </c>
      <c r="E575" s="856">
        <f t="shared" si="97"/>
        <v>15206</v>
      </c>
      <c r="F575" s="857">
        <f t="shared" si="97"/>
        <v>109</v>
      </c>
      <c r="G575" s="858">
        <f t="shared" si="97"/>
        <v>0</v>
      </c>
      <c r="H575" s="855">
        <f t="shared" si="97"/>
        <v>0</v>
      </c>
      <c r="I575" s="855">
        <f t="shared" si="97"/>
        <v>0</v>
      </c>
      <c r="J575" s="859">
        <f t="shared" si="97"/>
        <v>0</v>
      </c>
    </row>
    <row r="576" spans="1:10" x14ac:dyDescent="0.15">
      <c r="A576" s="867" t="s">
        <v>330</v>
      </c>
      <c r="B576" s="876" t="s">
        <v>73</v>
      </c>
      <c r="C576" s="877">
        <f t="shared" si="97"/>
        <v>15315</v>
      </c>
      <c r="D576" s="877">
        <f t="shared" si="97"/>
        <v>0</v>
      </c>
      <c r="E576" s="878">
        <f t="shared" si="97"/>
        <v>15206</v>
      </c>
      <c r="F576" s="879">
        <f t="shared" si="97"/>
        <v>109</v>
      </c>
      <c r="G576" s="880">
        <f t="shared" si="97"/>
        <v>0</v>
      </c>
      <c r="H576" s="877">
        <f t="shared" si="97"/>
        <v>0</v>
      </c>
      <c r="I576" s="877">
        <f t="shared" si="97"/>
        <v>0</v>
      </c>
      <c r="J576" s="881">
        <f t="shared" si="97"/>
        <v>0</v>
      </c>
    </row>
    <row r="577" spans="1:12" x14ac:dyDescent="0.15">
      <c r="A577" s="956" t="s">
        <v>334</v>
      </c>
      <c r="B577" s="842" t="s">
        <v>72</v>
      </c>
      <c r="C577" s="1036">
        <f t="shared" ref="C577" si="98">D577+E577+F577+G577+H577+I577+J577</f>
        <v>109</v>
      </c>
      <c r="D577" s="1036">
        <f>D579+D581</f>
        <v>0</v>
      </c>
      <c r="E577" s="1037">
        <f t="shared" ref="E577:J578" si="99">E579+E581</f>
        <v>0</v>
      </c>
      <c r="F577" s="1038">
        <f t="shared" si="99"/>
        <v>109</v>
      </c>
      <c r="G577" s="1039">
        <f t="shared" si="99"/>
        <v>0</v>
      </c>
      <c r="H577" s="1036">
        <f t="shared" si="99"/>
        <v>0</v>
      </c>
      <c r="I577" s="1036">
        <f t="shared" si="99"/>
        <v>0</v>
      </c>
      <c r="J577" s="1056">
        <f t="shared" si="99"/>
        <v>0</v>
      </c>
    </row>
    <row r="578" spans="1:12" x14ac:dyDescent="0.15">
      <c r="A578" s="957" t="s">
        <v>330</v>
      </c>
      <c r="B578" s="887" t="s">
        <v>73</v>
      </c>
      <c r="C578" s="1046">
        <f>D578+E578+F578+G578+H578+I578+J578</f>
        <v>109</v>
      </c>
      <c r="D578" s="1046">
        <f>D580+D582</f>
        <v>0</v>
      </c>
      <c r="E578" s="1047">
        <f t="shared" si="99"/>
        <v>0</v>
      </c>
      <c r="F578" s="1048">
        <f t="shared" si="99"/>
        <v>109</v>
      </c>
      <c r="G578" s="1049">
        <f t="shared" si="99"/>
        <v>0</v>
      </c>
      <c r="H578" s="1046">
        <f t="shared" si="99"/>
        <v>0</v>
      </c>
      <c r="I578" s="1046">
        <f t="shared" si="99"/>
        <v>0</v>
      </c>
      <c r="J578" s="1050">
        <f t="shared" si="99"/>
        <v>0</v>
      </c>
    </row>
    <row r="579" spans="1:12" ht="12.75" customHeight="1" x14ac:dyDescent="0.15">
      <c r="A579" s="1417" t="s">
        <v>513</v>
      </c>
      <c r="B579" s="963" t="s">
        <v>72</v>
      </c>
      <c r="C579" s="1072">
        <f t="shared" ref="C579:C583" si="100">D579+E579+F579+G579+H579+I579+J579</f>
        <v>99</v>
      </c>
      <c r="D579" s="1072">
        <v>0</v>
      </c>
      <c r="E579" s="1073">
        <v>0</v>
      </c>
      <c r="F579" s="1074">
        <f>166-67</f>
        <v>99</v>
      </c>
      <c r="G579" s="1075">
        <v>0</v>
      </c>
      <c r="H579" s="1072">
        <v>0</v>
      </c>
      <c r="I579" s="1072">
        <v>0</v>
      </c>
      <c r="J579" s="1076">
        <v>0</v>
      </c>
      <c r="K579" s="1420" t="s">
        <v>514</v>
      </c>
    </row>
    <row r="580" spans="1:12" ht="11.25" customHeight="1" x14ac:dyDescent="0.15">
      <c r="A580" s="1418"/>
      <c r="B580" s="969" t="s">
        <v>73</v>
      </c>
      <c r="C580" s="970">
        <f t="shared" si="100"/>
        <v>99</v>
      </c>
      <c r="D580" s="970">
        <v>0</v>
      </c>
      <c r="E580" s="971">
        <v>0</v>
      </c>
      <c r="F580" s="972">
        <f>166-67</f>
        <v>99</v>
      </c>
      <c r="G580" s="973">
        <v>0</v>
      </c>
      <c r="H580" s="970">
        <v>0</v>
      </c>
      <c r="I580" s="970">
        <v>0</v>
      </c>
      <c r="J580" s="974">
        <v>0</v>
      </c>
      <c r="K580" s="1420"/>
    </row>
    <row r="581" spans="1:12" ht="12.75" customHeight="1" x14ac:dyDescent="0.15">
      <c r="A581" s="1417" t="s">
        <v>515</v>
      </c>
      <c r="B581" s="963" t="s">
        <v>72</v>
      </c>
      <c r="C581" s="1072">
        <f t="shared" si="100"/>
        <v>10</v>
      </c>
      <c r="D581" s="1072">
        <v>0</v>
      </c>
      <c r="E581" s="1073">
        <v>0</v>
      </c>
      <c r="F581" s="1074">
        <f>1+9</f>
        <v>10</v>
      </c>
      <c r="G581" s="1075">
        <v>0</v>
      </c>
      <c r="H581" s="1072">
        <v>0</v>
      </c>
      <c r="I581" s="1072">
        <v>0</v>
      </c>
      <c r="J581" s="1076">
        <v>0</v>
      </c>
      <c r="K581" s="1420" t="s">
        <v>514</v>
      </c>
    </row>
    <row r="582" spans="1:12" ht="12" customHeight="1" x14ac:dyDescent="0.15">
      <c r="A582" s="1418"/>
      <c r="B582" s="969" t="s">
        <v>73</v>
      </c>
      <c r="C582" s="970">
        <f t="shared" si="100"/>
        <v>10</v>
      </c>
      <c r="D582" s="970">
        <v>0</v>
      </c>
      <c r="E582" s="971">
        <v>0</v>
      </c>
      <c r="F582" s="972">
        <f>1+9</f>
        <v>10</v>
      </c>
      <c r="G582" s="973">
        <v>0</v>
      </c>
      <c r="H582" s="970">
        <v>0</v>
      </c>
      <c r="I582" s="970">
        <v>0</v>
      </c>
      <c r="J582" s="974">
        <v>0</v>
      </c>
      <c r="K582" s="1420"/>
    </row>
    <row r="583" spans="1:12" ht="11.25" customHeight="1" x14ac:dyDescent="0.15">
      <c r="A583" s="993" t="s">
        <v>342</v>
      </c>
      <c r="B583" s="875" t="s">
        <v>72</v>
      </c>
      <c r="C583" s="1036">
        <f t="shared" si="100"/>
        <v>15206</v>
      </c>
      <c r="D583" s="1036">
        <f t="shared" ref="D583:J584" si="101">D585+D587</f>
        <v>0</v>
      </c>
      <c r="E583" s="1037">
        <f t="shared" si="101"/>
        <v>15206</v>
      </c>
      <c r="F583" s="1038">
        <f t="shared" si="101"/>
        <v>0</v>
      </c>
      <c r="G583" s="1039">
        <f t="shared" si="101"/>
        <v>0</v>
      </c>
      <c r="H583" s="1036">
        <f t="shared" si="101"/>
        <v>0</v>
      </c>
      <c r="I583" s="1036">
        <f t="shared" si="101"/>
        <v>0</v>
      </c>
      <c r="J583" s="1040">
        <f t="shared" si="101"/>
        <v>0</v>
      </c>
    </row>
    <row r="584" spans="1:12" x14ac:dyDescent="0.15">
      <c r="A584" s="994" t="s">
        <v>330</v>
      </c>
      <c r="B584" s="995" t="s">
        <v>73</v>
      </c>
      <c r="C584" s="1051">
        <f>D584+E584+F584+G584+H584+I584+J584</f>
        <v>15206</v>
      </c>
      <c r="D584" s="1051">
        <f t="shared" si="101"/>
        <v>0</v>
      </c>
      <c r="E584" s="1052">
        <f t="shared" si="101"/>
        <v>15206</v>
      </c>
      <c r="F584" s="1053">
        <f t="shared" si="101"/>
        <v>0</v>
      </c>
      <c r="G584" s="1054">
        <f t="shared" si="101"/>
        <v>0</v>
      </c>
      <c r="H584" s="1051">
        <f t="shared" si="101"/>
        <v>0</v>
      </c>
      <c r="I584" s="1051">
        <f t="shared" si="101"/>
        <v>0</v>
      </c>
      <c r="J584" s="1055">
        <f t="shared" si="101"/>
        <v>0</v>
      </c>
    </row>
    <row r="585" spans="1:12" ht="11.25" customHeight="1" x14ac:dyDescent="0.15">
      <c r="A585" s="1417" t="s">
        <v>516</v>
      </c>
      <c r="B585" s="963" t="s">
        <v>72</v>
      </c>
      <c r="C585" s="964">
        <f t="shared" ref="C585:C588" si="102">D585+E585+F585+G585+H585+I585+J585</f>
        <v>15206</v>
      </c>
      <c r="D585" s="964">
        <v>0</v>
      </c>
      <c r="E585" s="965">
        <v>15206</v>
      </c>
      <c r="F585" s="966">
        <v>0</v>
      </c>
      <c r="G585" s="967">
        <v>0</v>
      </c>
      <c r="H585" s="964">
        <v>0</v>
      </c>
      <c r="I585" s="964">
        <v>0</v>
      </c>
      <c r="J585" s="968">
        <v>0</v>
      </c>
      <c r="K585" s="1420" t="s">
        <v>514</v>
      </c>
    </row>
    <row r="586" spans="1:12" ht="11.25" customHeight="1" x14ac:dyDescent="0.15">
      <c r="A586" s="1418"/>
      <c r="B586" s="1003" t="s">
        <v>73</v>
      </c>
      <c r="C586" s="1004">
        <f t="shared" si="102"/>
        <v>15206</v>
      </c>
      <c r="D586" s="1004">
        <v>0</v>
      </c>
      <c r="E586" s="1005">
        <v>15206</v>
      </c>
      <c r="F586" s="1006">
        <v>0</v>
      </c>
      <c r="G586" s="1007">
        <v>0</v>
      </c>
      <c r="H586" s="1004">
        <v>0</v>
      </c>
      <c r="I586" s="1004">
        <v>0</v>
      </c>
      <c r="J586" s="1008">
        <v>0</v>
      </c>
      <c r="K586" s="1420"/>
    </row>
    <row r="587" spans="1:12" x14ac:dyDescent="0.15">
      <c r="A587" s="1001"/>
      <c r="B587" s="963" t="s">
        <v>72</v>
      </c>
      <c r="C587" s="964">
        <f t="shared" si="102"/>
        <v>0</v>
      </c>
      <c r="D587" s="964"/>
      <c r="E587" s="965"/>
      <c r="F587" s="966"/>
      <c r="G587" s="967"/>
      <c r="H587" s="964"/>
      <c r="I587" s="964"/>
      <c r="J587" s="968"/>
    </row>
    <row r="588" spans="1:12" x14ac:dyDescent="0.15">
      <c r="A588" s="1002"/>
      <c r="B588" s="1003" t="s">
        <v>73</v>
      </c>
      <c r="C588" s="1004">
        <f t="shared" si="102"/>
        <v>0</v>
      </c>
      <c r="D588" s="1004"/>
      <c r="E588" s="1005"/>
      <c r="F588" s="1006"/>
      <c r="G588" s="1007"/>
      <c r="H588" s="1004"/>
      <c r="I588" s="1004"/>
      <c r="J588" s="1008"/>
    </row>
    <row r="589" spans="1:12" ht="37.5" customHeight="1" x14ac:dyDescent="0.15">
      <c r="A589" s="1454" t="s">
        <v>517</v>
      </c>
      <c r="B589" s="1455"/>
      <c r="C589" s="1455"/>
      <c r="D589" s="1455"/>
      <c r="E589" s="1455"/>
      <c r="F589" s="1455"/>
      <c r="G589" s="1455"/>
      <c r="H589" s="1455"/>
      <c r="I589" s="1455"/>
      <c r="J589" s="1456"/>
      <c r="K589" s="1105"/>
      <c r="L589" s="1105"/>
    </row>
    <row r="590" spans="1:12" x14ac:dyDescent="0.15">
      <c r="A590" s="1413" t="s">
        <v>328</v>
      </c>
      <c r="B590" s="875" t="s">
        <v>72</v>
      </c>
      <c r="C590" s="905">
        <f>D590+E590+F590+G590+H590+I590+J590</f>
        <v>2966</v>
      </c>
      <c r="D590" s="905">
        <f>D592+D602</f>
        <v>0</v>
      </c>
      <c r="E590" s="906">
        <f t="shared" ref="E590:J591" si="103">E592+E602</f>
        <v>0</v>
      </c>
      <c r="F590" s="832">
        <f t="shared" si="103"/>
        <v>2966</v>
      </c>
      <c r="G590" s="907">
        <f t="shared" si="103"/>
        <v>0</v>
      </c>
      <c r="H590" s="905">
        <f t="shared" si="103"/>
        <v>0</v>
      </c>
      <c r="I590" s="905">
        <f t="shared" si="103"/>
        <v>0</v>
      </c>
      <c r="J590" s="908">
        <f t="shared" si="103"/>
        <v>0</v>
      </c>
      <c r="K590" s="1105"/>
      <c r="L590" s="1105"/>
    </row>
    <row r="591" spans="1:12" ht="14" thickBot="1" x14ac:dyDescent="0.2">
      <c r="A591" s="1414"/>
      <c r="B591" s="909" t="s">
        <v>73</v>
      </c>
      <c r="C591" s="1013">
        <f>D591+E591+F591+G591+H591+I591+J591</f>
        <v>607</v>
      </c>
      <c r="D591" s="1013">
        <f>D593+D603</f>
        <v>0</v>
      </c>
      <c r="E591" s="1014">
        <f t="shared" si="103"/>
        <v>0</v>
      </c>
      <c r="F591" s="1015">
        <f t="shared" si="103"/>
        <v>607</v>
      </c>
      <c r="G591" s="1016">
        <f t="shared" si="103"/>
        <v>0</v>
      </c>
      <c r="H591" s="1013">
        <f t="shared" si="103"/>
        <v>0</v>
      </c>
      <c r="I591" s="1013">
        <f t="shared" si="103"/>
        <v>0</v>
      </c>
      <c r="J591" s="1017">
        <f t="shared" si="103"/>
        <v>0</v>
      </c>
      <c r="K591" s="1105"/>
      <c r="L591" s="1105"/>
    </row>
    <row r="592" spans="1:12" ht="12.75" customHeight="1" x14ac:dyDescent="0.15">
      <c r="A592" s="841" t="s">
        <v>329</v>
      </c>
      <c r="B592" s="842" t="s">
        <v>72</v>
      </c>
      <c r="C592" s="843">
        <f>C594</f>
        <v>0</v>
      </c>
      <c r="D592" s="843">
        <f>D594</f>
        <v>0</v>
      </c>
      <c r="E592" s="844">
        <f t="shared" ref="E592:J593" si="104">E594</f>
        <v>0</v>
      </c>
      <c r="F592" s="845">
        <f t="shared" si="104"/>
        <v>0</v>
      </c>
      <c r="G592" s="846">
        <f t="shared" si="104"/>
        <v>0</v>
      </c>
      <c r="H592" s="843">
        <f t="shared" si="104"/>
        <v>0</v>
      </c>
      <c r="I592" s="843">
        <f t="shared" si="104"/>
        <v>0</v>
      </c>
      <c r="J592" s="847">
        <f t="shared" si="104"/>
        <v>0</v>
      </c>
      <c r="K592" s="1105"/>
      <c r="L592" s="1105"/>
    </row>
    <row r="593" spans="1:11" x14ac:dyDescent="0.15">
      <c r="A593" s="848" t="s">
        <v>330</v>
      </c>
      <c r="B593" s="849" t="s">
        <v>73</v>
      </c>
      <c r="C593" s="1031">
        <f>C595</f>
        <v>0</v>
      </c>
      <c r="D593" s="1031">
        <f>D595</f>
        <v>0</v>
      </c>
      <c r="E593" s="1032">
        <f t="shared" si="104"/>
        <v>0</v>
      </c>
      <c r="F593" s="1033">
        <f t="shared" si="104"/>
        <v>0</v>
      </c>
      <c r="G593" s="1034">
        <f t="shared" si="104"/>
        <v>0</v>
      </c>
      <c r="H593" s="1031">
        <f t="shared" si="104"/>
        <v>0</v>
      </c>
      <c r="I593" s="1031">
        <f t="shared" si="104"/>
        <v>0</v>
      </c>
      <c r="J593" s="1035">
        <f t="shared" si="104"/>
        <v>0</v>
      </c>
    </row>
    <row r="594" spans="1:11" x14ac:dyDescent="0.15">
      <c r="A594" s="1415" t="s">
        <v>331</v>
      </c>
      <c r="B594" s="842" t="s">
        <v>72</v>
      </c>
      <c r="C594" s="1036">
        <f t="shared" ref="C594" si="105">D594+E594+F594+G594+H594+I594+J594</f>
        <v>0</v>
      </c>
      <c r="D594" s="1036">
        <f>D596+D598+D600</f>
        <v>0</v>
      </c>
      <c r="E594" s="1037">
        <f t="shared" ref="E594:J595" si="106">E596+E598+E600</f>
        <v>0</v>
      </c>
      <c r="F594" s="1038">
        <f t="shared" si="106"/>
        <v>0</v>
      </c>
      <c r="G594" s="1039">
        <f t="shared" si="106"/>
        <v>0</v>
      </c>
      <c r="H594" s="1036">
        <f t="shared" si="106"/>
        <v>0</v>
      </c>
      <c r="I594" s="1036">
        <f t="shared" si="106"/>
        <v>0</v>
      </c>
      <c r="J594" s="1056">
        <f t="shared" si="106"/>
        <v>0</v>
      </c>
    </row>
    <row r="595" spans="1:11" ht="12.75" customHeight="1" x14ac:dyDescent="0.15">
      <c r="A595" s="1416"/>
      <c r="B595" s="849" t="s">
        <v>73</v>
      </c>
      <c r="C595" s="1041">
        <f>D595+E595+F595+G595+H595+I595+J595</f>
        <v>0</v>
      </c>
      <c r="D595" s="1041">
        <f>D597+D599+D601</f>
        <v>0</v>
      </c>
      <c r="E595" s="1042">
        <f t="shared" si="106"/>
        <v>0</v>
      </c>
      <c r="F595" s="1043">
        <f t="shared" si="106"/>
        <v>0</v>
      </c>
      <c r="G595" s="1044">
        <f t="shared" si="106"/>
        <v>0</v>
      </c>
      <c r="H595" s="1041">
        <f t="shared" si="106"/>
        <v>0</v>
      </c>
      <c r="I595" s="1041">
        <f t="shared" si="106"/>
        <v>0</v>
      </c>
      <c r="J595" s="1045">
        <f t="shared" si="106"/>
        <v>0</v>
      </c>
    </row>
    <row r="596" spans="1:11" ht="11.25" customHeight="1" x14ac:dyDescent="0.15">
      <c r="A596" s="926"/>
      <c r="B596" s="842" t="s">
        <v>72</v>
      </c>
      <c r="C596" s="1057">
        <f t="shared" ref="C596:C601" si="107">D596+E596+F596+G596+H596+I596+J596</f>
        <v>0</v>
      </c>
      <c r="D596" s="1057"/>
      <c r="E596" s="1058"/>
      <c r="F596" s="1059"/>
      <c r="G596" s="1060"/>
      <c r="H596" s="1057"/>
      <c r="I596" s="1057"/>
      <c r="J596" s="1061"/>
    </row>
    <row r="597" spans="1:11" ht="11.25" customHeight="1" x14ac:dyDescent="0.15">
      <c r="A597" s="928"/>
      <c r="B597" s="849" t="s">
        <v>73</v>
      </c>
      <c r="C597" s="1062">
        <f t="shared" si="107"/>
        <v>0</v>
      </c>
      <c r="D597" s="1062"/>
      <c r="E597" s="1063"/>
      <c r="F597" s="1064"/>
      <c r="G597" s="1065"/>
      <c r="H597" s="1062"/>
      <c r="I597" s="1062"/>
      <c r="J597" s="1066"/>
    </row>
    <row r="598" spans="1:11" ht="12.75" hidden="1" customHeight="1" x14ac:dyDescent="0.15">
      <c r="A598" s="926"/>
      <c r="B598" s="842" t="s">
        <v>72</v>
      </c>
      <c r="C598" s="1057">
        <f t="shared" si="107"/>
        <v>0</v>
      </c>
      <c r="D598" s="1057"/>
      <c r="E598" s="1058"/>
      <c r="F598" s="1059"/>
      <c r="G598" s="1060"/>
      <c r="H598" s="1057"/>
      <c r="I598" s="1057"/>
      <c r="J598" s="1061"/>
    </row>
    <row r="599" spans="1:11" ht="12.75" hidden="1" customHeight="1" x14ac:dyDescent="0.15">
      <c r="A599" s="928"/>
      <c r="B599" s="849" t="s">
        <v>73</v>
      </c>
      <c r="C599" s="1062">
        <f t="shared" si="107"/>
        <v>0</v>
      </c>
      <c r="D599" s="1062"/>
      <c r="E599" s="1063"/>
      <c r="F599" s="1064"/>
      <c r="G599" s="1065"/>
      <c r="H599" s="1062"/>
      <c r="I599" s="1062"/>
      <c r="J599" s="1066"/>
    </row>
    <row r="600" spans="1:11" ht="12.75" hidden="1" customHeight="1" x14ac:dyDescent="0.15">
      <c r="A600" s="926"/>
      <c r="B600" s="842" t="s">
        <v>72</v>
      </c>
      <c r="C600" s="1057">
        <f t="shared" si="107"/>
        <v>0</v>
      </c>
      <c r="D600" s="1057"/>
      <c r="E600" s="1058"/>
      <c r="F600" s="1059"/>
      <c r="G600" s="1060"/>
      <c r="H600" s="1057"/>
      <c r="I600" s="1057"/>
      <c r="J600" s="1061"/>
    </row>
    <row r="601" spans="1:11" ht="12.75" hidden="1" customHeight="1" thickBot="1" x14ac:dyDescent="0.2">
      <c r="A601" s="934"/>
      <c r="B601" s="860" t="s">
        <v>73</v>
      </c>
      <c r="C601" s="1067">
        <f t="shared" si="107"/>
        <v>0</v>
      </c>
      <c r="D601" s="1067"/>
      <c r="E601" s="1068"/>
      <c r="F601" s="1069"/>
      <c r="G601" s="1070"/>
      <c r="H601" s="1067"/>
      <c r="I601" s="1067"/>
      <c r="J601" s="1071"/>
    </row>
    <row r="602" spans="1:11" ht="12.75" customHeight="1" x14ac:dyDescent="0.15">
      <c r="A602" s="866" t="s">
        <v>332</v>
      </c>
      <c r="B602" s="842" t="s">
        <v>72</v>
      </c>
      <c r="C602" s="843">
        <f>C604</f>
        <v>2966</v>
      </c>
      <c r="D602" s="843">
        <f>D604</f>
        <v>0</v>
      </c>
      <c r="E602" s="844">
        <f t="shared" ref="E602:J603" si="108">E604</f>
        <v>0</v>
      </c>
      <c r="F602" s="845">
        <f t="shared" si="108"/>
        <v>2966</v>
      </c>
      <c r="G602" s="846">
        <f t="shared" si="108"/>
        <v>0</v>
      </c>
      <c r="H602" s="843">
        <f t="shared" si="108"/>
        <v>0</v>
      </c>
      <c r="I602" s="843">
        <f t="shared" si="108"/>
        <v>0</v>
      </c>
      <c r="J602" s="847">
        <f t="shared" si="108"/>
        <v>0</v>
      </c>
    </row>
    <row r="603" spans="1:11" x14ac:dyDescent="0.15">
      <c r="A603" s="867" t="s">
        <v>330</v>
      </c>
      <c r="B603" s="868" t="s">
        <v>73</v>
      </c>
      <c r="C603" s="869">
        <f>C605</f>
        <v>607</v>
      </c>
      <c r="D603" s="869">
        <f>D605</f>
        <v>0</v>
      </c>
      <c r="E603" s="870">
        <f t="shared" si="108"/>
        <v>0</v>
      </c>
      <c r="F603" s="871">
        <f t="shared" si="108"/>
        <v>607</v>
      </c>
      <c r="G603" s="872">
        <f t="shared" si="108"/>
        <v>0</v>
      </c>
      <c r="H603" s="869">
        <f t="shared" si="108"/>
        <v>0</v>
      </c>
      <c r="I603" s="869">
        <f t="shared" si="108"/>
        <v>0</v>
      </c>
      <c r="J603" s="873">
        <f t="shared" si="108"/>
        <v>0</v>
      </c>
    </row>
    <row r="604" spans="1:11" x14ac:dyDescent="0.15">
      <c r="A604" s="945" t="s">
        <v>333</v>
      </c>
      <c r="B604" s="875" t="s">
        <v>72</v>
      </c>
      <c r="C604" s="855">
        <f t="shared" ref="C604:J605" si="109">C606+C628</f>
        <v>2966</v>
      </c>
      <c r="D604" s="855">
        <f t="shared" si="109"/>
        <v>0</v>
      </c>
      <c r="E604" s="856">
        <f t="shared" si="109"/>
        <v>0</v>
      </c>
      <c r="F604" s="857">
        <f t="shared" si="109"/>
        <v>2966</v>
      </c>
      <c r="G604" s="858">
        <f t="shared" si="109"/>
        <v>0</v>
      </c>
      <c r="H604" s="855">
        <f t="shared" si="109"/>
        <v>0</v>
      </c>
      <c r="I604" s="855">
        <f t="shared" si="109"/>
        <v>0</v>
      </c>
      <c r="J604" s="859">
        <f t="shared" si="109"/>
        <v>0</v>
      </c>
    </row>
    <row r="605" spans="1:11" ht="12" customHeight="1" x14ac:dyDescent="0.15">
      <c r="A605" s="867" t="s">
        <v>330</v>
      </c>
      <c r="B605" s="876" t="s">
        <v>73</v>
      </c>
      <c r="C605" s="877">
        <f t="shared" si="109"/>
        <v>607</v>
      </c>
      <c r="D605" s="877">
        <f t="shared" si="109"/>
        <v>0</v>
      </c>
      <c r="E605" s="878">
        <f t="shared" si="109"/>
        <v>0</v>
      </c>
      <c r="F605" s="879">
        <f t="shared" si="109"/>
        <v>607</v>
      </c>
      <c r="G605" s="880">
        <f t="shared" si="109"/>
        <v>0</v>
      </c>
      <c r="H605" s="877">
        <f t="shared" si="109"/>
        <v>0</v>
      </c>
      <c r="I605" s="877">
        <f t="shared" si="109"/>
        <v>0</v>
      </c>
      <c r="J605" s="881">
        <f t="shared" si="109"/>
        <v>0</v>
      </c>
    </row>
    <row r="606" spans="1:11" x14ac:dyDescent="0.15">
      <c r="A606" s="956" t="s">
        <v>334</v>
      </c>
      <c r="B606" s="842" t="s">
        <v>72</v>
      </c>
      <c r="C606" s="1036">
        <f t="shared" ref="C606" si="110">D606+E606+F606+G606+H606+I606+J606</f>
        <v>2966</v>
      </c>
      <c r="D606" s="1036">
        <f>D608+D610+D620+D622+D624+D626</f>
        <v>0</v>
      </c>
      <c r="E606" s="1037">
        <f>E608+E610+E620+E622+E624+E626</f>
        <v>0</v>
      </c>
      <c r="F606" s="1038">
        <f>F608+F610+F612+F614+F616+F618+F620+F622+F624+F626</f>
        <v>2966</v>
      </c>
      <c r="G606" s="1039">
        <f t="shared" ref="G606:J607" si="111">G608+G610+G620+G622+G624+G626</f>
        <v>0</v>
      </c>
      <c r="H606" s="1036">
        <f t="shared" si="111"/>
        <v>0</v>
      </c>
      <c r="I606" s="1036">
        <f t="shared" si="111"/>
        <v>0</v>
      </c>
      <c r="J606" s="1056">
        <f t="shared" si="111"/>
        <v>0</v>
      </c>
    </row>
    <row r="607" spans="1:11" x14ac:dyDescent="0.15">
      <c r="A607" s="957" t="s">
        <v>330</v>
      </c>
      <c r="B607" s="887" t="s">
        <v>73</v>
      </c>
      <c r="C607" s="1046">
        <f>D607+E607+F607+G607+H607+I607+J607</f>
        <v>607</v>
      </c>
      <c r="D607" s="1046">
        <f>D609+D611+D621+D623+D625+D627</f>
        <v>0</v>
      </c>
      <c r="E607" s="1047">
        <f>E609+E611+E621+E623+E625+E627</f>
        <v>0</v>
      </c>
      <c r="F607" s="1048">
        <f>F609+F611+F613+F615+F617+F619+F621+F623+F625+F627</f>
        <v>607</v>
      </c>
      <c r="G607" s="1049">
        <f t="shared" si="111"/>
        <v>0</v>
      </c>
      <c r="H607" s="1046">
        <f t="shared" si="111"/>
        <v>0</v>
      </c>
      <c r="I607" s="1046">
        <f t="shared" si="111"/>
        <v>0</v>
      </c>
      <c r="J607" s="1050">
        <f t="shared" si="111"/>
        <v>0</v>
      </c>
    </row>
    <row r="608" spans="1:11" x14ac:dyDescent="0.15">
      <c r="A608" s="1457" t="s">
        <v>518</v>
      </c>
      <c r="B608" s="963" t="s">
        <v>72</v>
      </c>
      <c r="C608" s="1072">
        <f t="shared" ref="C608:C628" si="112">D608+E608+F608+G608+H608+I608+J608</f>
        <v>35</v>
      </c>
      <c r="D608" s="1072">
        <v>0</v>
      </c>
      <c r="E608" s="1073">
        <v>0</v>
      </c>
      <c r="F608" s="1074">
        <v>35</v>
      </c>
      <c r="G608" s="1075">
        <v>0</v>
      </c>
      <c r="H608" s="1072">
        <v>0</v>
      </c>
      <c r="I608" s="1072">
        <v>0</v>
      </c>
      <c r="J608" s="1076">
        <v>0</v>
      </c>
      <c r="K608" s="1419" t="s">
        <v>338</v>
      </c>
    </row>
    <row r="609" spans="1:11" ht="23.25" customHeight="1" x14ac:dyDescent="0.15">
      <c r="A609" s="1458"/>
      <c r="B609" s="969" t="s">
        <v>73</v>
      </c>
      <c r="C609" s="970">
        <f t="shared" si="112"/>
        <v>35</v>
      </c>
      <c r="D609" s="970">
        <v>0</v>
      </c>
      <c r="E609" s="971">
        <v>0</v>
      </c>
      <c r="F609" s="972">
        <v>35</v>
      </c>
      <c r="G609" s="973">
        <v>0</v>
      </c>
      <c r="H609" s="970">
        <v>0</v>
      </c>
      <c r="I609" s="970">
        <v>0</v>
      </c>
      <c r="J609" s="974">
        <v>0</v>
      </c>
      <c r="K609" s="1420"/>
    </row>
    <row r="610" spans="1:11" ht="12" customHeight="1" x14ac:dyDescent="0.15">
      <c r="A610" s="1459" t="s">
        <v>519</v>
      </c>
      <c r="B610" s="963" t="s">
        <v>72</v>
      </c>
      <c r="C610" s="1072">
        <f t="shared" si="112"/>
        <v>30</v>
      </c>
      <c r="D610" s="1072">
        <v>0</v>
      </c>
      <c r="E610" s="1073">
        <v>0</v>
      </c>
      <c r="F610" s="1074">
        <v>30</v>
      </c>
      <c r="G610" s="1075">
        <v>0</v>
      </c>
      <c r="H610" s="1072">
        <v>0</v>
      </c>
      <c r="I610" s="1072">
        <v>0</v>
      </c>
      <c r="J610" s="1076">
        <v>0</v>
      </c>
      <c r="K610" s="1419" t="s">
        <v>338</v>
      </c>
    </row>
    <row r="611" spans="1:11" ht="12.75" customHeight="1" x14ac:dyDescent="0.15">
      <c r="A611" s="1460"/>
      <c r="B611" s="969" t="s">
        <v>73</v>
      </c>
      <c r="C611" s="970">
        <f t="shared" si="112"/>
        <v>30</v>
      </c>
      <c r="D611" s="970">
        <v>0</v>
      </c>
      <c r="E611" s="971">
        <v>0</v>
      </c>
      <c r="F611" s="972">
        <v>30</v>
      </c>
      <c r="G611" s="973">
        <v>0</v>
      </c>
      <c r="H611" s="970">
        <v>0</v>
      </c>
      <c r="I611" s="970">
        <v>0</v>
      </c>
      <c r="J611" s="974">
        <v>0</v>
      </c>
      <c r="K611" s="1420"/>
    </row>
    <row r="612" spans="1:11" ht="12.75" customHeight="1" x14ac:dyDescent="0.15">
      <c r="A612" s="1467" t="s">
        <v>520</v>
      </c>
      <c r="B612" s="963" t="s">
        <v>72</v>
      </c>
      <c r="C612" s="1072">
        <f t="shared" si="112"/>
        <v>17</v>
      </c>
      <c r="D612" s="1072">
        <v>0</v>
      </c>
      <c r="E612" s="1073">
        <v>0</v>
      </c>
      <c r="F612" s="1074">
        <v>17</v>
      </c>
      <c r="G612" s="1075">
        <v>0</v>
      </c>
      <c r="H612" s="1072">
        <v>0</v>
      </c>
      <c r="I612" s="1072">
        <v>0</v>
      </c>
      <c r="J612" s="1076">
        <v>0</v>
      </c>
      <c r="K612" s="1419" t="s">
        <v>338</v>
      </c>
    </row>
    <row r="613" spans="1:11" ht="12.75" customHeight="1" x14ac:dyDescent="0.15">
      <c r="A613" s="1468"/>
      <c r="B613" s="969" t="s">
        <v>73</v>
      </c>
      <c r="C613" s="970">
        <f t="shared" si="112"/>
        <v>17</v>
      </c>
      <c r="D613" s="970">
        <v>0</v>
      </c>
      <c r="E613" s="971">
        <v>0</v>
      </c>
      <c r="F613" s="972">
        <v>17</v>
      </c>
      <c r="G613" s="973">
        <v>0</v>
      </c>
      <c r="H613" s="970">
        <v>0</v>
      </c>
      <c r="I613" s="970">
        <v>0</v>
      </c>
      <c r="J613" s="974">
        <v>0</v>
      </c>
      <c r="K613" s="1420"/>
    </row>
    <row r="614" spans="1:11" ht="16.5" customHeight="1" x14ac:dyDescent="0.15">
      <c r="A614" s="1469" t="s">
        <v>521</v>
      </c>
      <c r="B614" s="963" t="s">
        <v>72</v>
      </c>
      <c r="C614" s="1072">
        <f t="shared" si="112"/>
        <v>23</v>
      </c>
      <c r="D614" s="1072">
        <v>0</v>
      </c>
      <c r="E614" s="1073">
        <v>0</v>
      </c>
      <c r="F614" s="1074">
        <v>23</v>
      </c>
      <c r="G614" s="1075">
        <v>0</v>
      </c>
      <c r="H614" s="1072">
        <v>0</v>
      </c>
      <c r="I614" s="1072">
        <v>0</v>
      </c>
      <c r="J614" s="1076">
        <v>0</v>
      </c>
      <c r="K614" s="1419" t="s">
        <v>338</v>
      </c>
    </row>
    <row r="615" spans="1:11" ht="15.75" customHeight="1" x14ac:dyDescent="0.15">
      <c r="A615" s="1470"/>
      <c r="B615" s="969" t="s">
        <v>73</v>
      </c>
      <c r="C615" s="970">
        <f t="shared" si="112"/>
        <v>23</v>
      </c>
      <c r="D615" s="970">
        <v>0</v>
      </c>
      <c r="E615" s="971">
        <v>0</v>
      </c>
      <c r="F615" s="972">
        <v>23</v>
      </c>
      <c r="G615" s="973">
        <v>0</v>
      </c>
      <c r="H615" s="970">
        <v>0</v>
      </c>
      <c r="I615" s="970">
        <v>0</v>
      </c>
      <c r="J615" s="974">
        <v>0</v>
      </c>
      <c r="K615" s="1420"/>
    </row>
    <row r="616" spans="1:11" ht="13.5" customHeight="1" x14ac:dyDescent="0.15">
      <c r="A616" s="1417" t="s">
        <v>522</v>
      </c>
      <c r="B616" s="963" t="s">
        <v>72</v>
      </c>
      <c r="C616" s="1072">
        <f>D616+E616+F616+G616+H616+I616+J616</f>
        <v>164</v>
      </c>
      <c r="D616" s="1072">
        <v>0</v>
      </c>
      <c r="E616" s="1073">
        <v>0</v>
      </c>
      <c r="F616" s="1074">
        <v>164</v>
      </c>
      <c r="G616" s="1075">
        <v>0</v>
      </c>
      <c r="H616" s="1072">
        <v>0</v>
      </c>
      <c r="I616" s="1072">
        <v>0</v>
      </c>
      <c r="J616" s="1076">
        <v>0</v>
      </c>
      <c r="K616" s="1419" t="s">
        <v>338</v>
      </c>
    </row>
    <row r="617" spans="1:11" ht="12" customHeight="1" x14ac:dyDescent="0.15">
      <c r="A617" s="1418"/>
      <c r="B617" s="969" t="s">
        <v>73</v>
      </c>
      <c r="C617" s="970">
        <f>D617+E617+F617+G617+H617+I617+J617</f>
        <v>115</v>
      </c>
      <c r="D617" s="970">
        <v>0</v>
      </c>
      <c r="E617" s="971">
        <v>0</v>
      </c>
      <c r="F617" s="972">
        <v>115</v>
      </c>
      <c r="G617" s="973">
        <v>0</v>
      </c>
      <c r="H617" s="970">
        <v>0</v>
      </c>
      <c r="I617" s="970">
        <v>0</v>
      </c>
      <c r="J617" s="974">
        <v>0</v>
      </c>
      <c r="K617" s="1420"/>
    </row>
    <row r="618" spans="1:11" ht="12.75" customHeight="1" x14ac:dyDescent="0.15">
      <c r="A618" s="1461" t="s">
        <v>523</v>
      </c>
      <c r="B618" s="963" t="s">
        <v>72</v>
      </c>
      <c r="C618" s="1072">
        <f>D618+E618+F618+G618+H618+I618+J618</f>
        <v>34</v>
      </c>
      <c r="D618" s="1072">
        <v>0</v>
      </c>
      <c r="E618" s="1073">
        <v>0</v>
      </c>
      <c r="F618" s="1074">
        <v>34</v>
      </c>
      <c r="G618" s="1075">
        <v>0</v>
      </c>
      <c r="H618" s="1072">
        <v>0</v>
      </c>
      <c r="I618" s="1072">
        <v>0</v>
      </c>
      <c r="J618" s="1076">
        <v>0</v>
      </c>
      <c r="K618" s="1419" t="s">
        <v>338</v>
      </c>
    </row>
    <row r="619" spans="1:11" ht="12.75" customHeight="1" x14ac:dyDescent="0.15">
      <c r="A619" s="1462"/>
      <c r="B619" s="969" t="s">
        <v>73</v>
      </c>
      <c r="C619" s="970">
        <f>D619+E619+F619+G619+H619+I619+J619</f>
        <v>34</v>
      </c>
      <c r="D619" s="970">
        <v>0</v>
      </c>
      <c r="E619" s="971">
        <v>0</v>
      </c>
      <c r="F619" s="972">
        <v>34</v>
      </c>
      <c r="G619" s="973">
        <v>0</v>
      </c>
      <c r="H619" s="970">
        <v>0</v>
      </c>
      <c r="I619" s="970">
        <v>0</v>
      </c>
      <c r="J619" s="974">
        <v>0</v>
      </c>
      <c r="K619" s="1420"/>
    </row>
    <row r="620" spans="1:11" ht="12" customHeight="1" x14ac:dyDescent="0.15">
      <c r="A620" s="1463" t="s">
        <v>524</v>
      </c>
      <c r="B620" s="963" t="s">
        <v>72</v>
      </c>
      <c r="C620" s="1072">
        <f t="shared" si="112"/>
        <v>253</v>
      </c>
      <c r="D620" s="1072">
        <v>0</v>
      </c>
      <c r="E620" s="1073">
        <v>0</v>
      </c>
      <c r="F620" s="1074">
        <f>218+35</f>
        <v>253</v>
      </c>
      <c r="G620" s="1075">
        <v>0</v>
      </c>
      <c r="H620" s="1072">
        <v>0</v>
      </c>
      <c r="I620" s="1072">
        <v>0</v>
      </c>
      <c r="J620" s="1076">
        <v>0</v>
      </c>
      <c r="K620" s="1419" t="s">
        <v>525</v>
      </c>
    </row>
    <row r="621" spans="1:11" ht="11.25" customHeight="1" x14ac:dyDescent="0.15">
      <c r="A621" s="1464"/>
      <c r="B621" s="969" t="s">
        <v>73</v>
      </c>
      <c r="C621" s="970">
        <f t="shared" si="112"/>
        <v>253</v>
      </c>
      <c r="D621" s="970">
        <v>0</v>
      </c>
      <c r="E621" s="971">
        <v>0</v>
      </c>
      <c r="F621" s="972">
        <f>218+35</f>
        <v>253</v>
      </c>
      <c r="G621" s="973">
        <v>0</v>
      </c>
      <c r="H621" s="970">
        <v>0</v>
      </c>
      <c r="I621" s="970">
        <v>0</v>
      </c>
      <c r="J621" s="974">
        <v>0</v>
      </c>
      <c r="K621" s="1420"/>
    </row>
    <row r="622" spans="1:11" ht="12.75" customHeight="1" x14ac:dyDescent="0.15">
      <c r="A622" s="1465" t="s">
        <v>526</v>
      </c>
      <c r="B622" s="963" t="s">
        <v>72</v>
      </c>
      <c r="C622" s="1072">
        <f t="shared" si="112"/>
        <v>100</v>
      </c>
      <c r="D622" s="1072">
        <v>0</v>
      </c>
      <c r="E622" s="1073">
        <v>0</v>
      </c>
      <c r="F622" s="1074">
        <v>100</v>
      </c>
      <c r="G622" s="1075">
        <v>0</v>
      </c>
      <c r="H622" s="1072">
        <v>0</v>
      </c>
      <c r="I622" s="1072">
        <v>0</v>
      </c>
      <c r="J622" s="1076">
        <v>0</v>
      </c>
      <c r="K622" s="1419" t="s">
        <v>525</v>
      </c>
    </row>
    <row r="623" spans="1:11" ht="12" customHeight="1" x14ac:dyDescent="0.15">
      <c r="A623" s="1466"/>
      <c r="B623" s="969" t="s">
        <v>73</v>
      </c>
      <c r="C623" s="970">
        <f t="shared" si="112"/>
        <v>100</v>
      </c>
      <c r="D623" s="970">
        <v>0</v>
      </c>
      <c r="E623" s="971">
        <v>0</v>
      </c>
      <c r="F623" s="972">
        <v>100</v>
      </c>
      <c r="G623" s="973">
        <v>0</v>
      </c>
      <c r="H623" s="970">
        <v>0</v>
      </c>
      <c r="I623" s="970">
        <v>0</v>
      </c>
      <c r="J623" s="974">
        <v>0</v>
      </c>
      <c r="K623" s="1420"/>
    </row>
    <row r="624" spans="1:11" ht="12" customHeight="1" x14ac:dyDescent="0.15">
      <c r="A624" s="1465" t="s">
        <v>527</v>
      </c>
      <c r="B624" s="963" t="s">
        <v>72</v>
      </c>
      <c r="C624" s="1072">
        <f t="shared" si="112"/>
        <v>1760</v>
      </c>
      <c r="D624" s="1072">
        <v>0</v>
      </c>
      <c r="E624" s="1073">
        <v>0</v>
      </c>
      <c r="F624" s="1074">
        <f>720+1040</f>
        <v>1760</v>
      </c>
      <c r="G624" s="1075">
        <v>0</v>
      </c>
      <c r="H624" s="1072">
        <v>0</v>
      </c>
      <c r="I624" s="1072">
        <v>0</v>
      </c>
      <c r="J624" s="1076">
        <v>0</v>
      </c>
      <c r="K624" s="1419" t="s">
        <v>525</v>
      </c>
    </row>
    <row r="625" spans="1:11" ht="12" customHeight="1" x14ac:dyDescent="0.15">
      <c r="A625" s="1466"/>
      <c r="B625" s="969" t="s">
        <v>73</v>
      </c>
      <c r="C625" s="970">
        <f t="shared" si="112"/>
        <v>0</v>
      </c>
      <c r="D625" s="970">
        <v>0</v>
      </c>
      <c r="E625" s="971">
        <v>0</v>
      </c>
      <c r="F625" s="972">
        <f>720-720</f>
        <v>0</v>
      </c>
      <c r="G625" s="973">
        <v>0</v>
      </c>
      <c r="H625" s="970">
        <v>0</v>
      </c>
      <c r="I625" s="970">
        <v>0</v>
      </c>
      <c r="J625" s="974">
        <v>0</v>
      </c>
      <c r="K625" s="1420"/>
    </row>
    <row r="626" spans="1:11" ht="11.25" customHeight="1" x14ac:dyDescent="0.15">
      <c r="A626" s="1465" t="s">
        <v>528</v>
      </c>
      <c r="B626" s="963" t="s">
        <v>72</v>
      </c>
      <c r="C626" s="1072">
        <f t="shared" si="112"/>
        <v>550</v>
      </c>
      <c r="D626" s="1072">
        <v>0</v>
      </c>
      <c r="E626" s="1073">
        <v>0</v>
      </c>
      <c r="F626" s="1074">
        <f>230+320</f>
        <v>550</v>
      </c>
      <c r="G626" s="1075">
        <v>0</v>
      </c>
      <c r="H626" s="1072">
        <v>0</v>
      </c>
      <c r="I626" s="1072">
        <v>0</v>
      </c>
      <c r="J626" s="1076">
        <v>0</v>
      </c>
      <c r="K626" s="1419" t="s">
        <v>525</v>
      </c>
    </row>
    <row r="627" spans="1:11" ht="10.5" customHeight="1" x14ac:dyDescent="0.15">
      <c r="A627" s="1466"/>
      <c r="B627" s="969" t="s">
        <v>73</v>
      </c>
      <c r="C627" s="970">
        <f t="shared" si="112"/>
        <v>0</v>
      </c>
      <c r="D627" s="970">
        <v>0</v>
      </c>
      <c r="E627" s="971">
        <v>0</v>
      </c>
      <c r="F627" s="972">
        <f>230-230</f>
        <v>0</v>
      </c>
      <c r="G627" s="973">
        <v>0</v>
      </c>
      <c r="H627" s="970">
        <v>0</v>
      </c>
      <c r="I627" s="970">
        <v>0</v>
      </c>
      <c r="J627" s="974">
        <v>0</v>
      </c>
      <c r="K627" s="1420"/>
    </row>
    <row r="628" spans="1:11" ht="12.75" customHeight="1" x14ac:dyDescent="0.15">
      <c r="A628" s="993" t="s">
        <v>342</v>
      </c>
      <c r="B628" s="875" t="s">
        <v>72</v>
      </c>
      <c r="C628" s="1036">
        <f t="shared" si="112"/>
        <v>0</v>
      </c>
      <c r="D628" s="1036">
        <f>D630+D632+D634</f>
        <v>0</v>
      </c>
      <c r="E628" s="1037">
        <f t="shared" ref="E628:J629" si="113">E630+E632+E634</f>
        <v>0</v>
      </c>
      <c r="F628" s="1038">
        <f t="shared" si="113"/>
        <v>0</v>
      </c>
      <c r="G628" s="1039">
        <f t="shared" si="113"/>
        <v>0</v>
      </c>
      <c r="H628" s="1036">
        <f t="shared" si="113"/>
        <v>0</v>
      </c>
      <c r="I628" s="1036">
        <f t="shared" si="113"/>
        <v>0</v>
      </c>
      <c r="J628" s="1040">
        <f t="shared" si="113"/>
        <v>0</v>
      </c>
    </row>
    <row r="629" spans="1:11" ht="12.75" customHeight="1" x14ac:dyDescent="0.15">
      <c r="A629" s="994" t="s">
        <v>330</v>
      </c>
      <c r="B629" s="995" t="s">
        <v>73</v>
      </c>
      <c r="C629" s="1051">
        <f>D629+E629+F629+G629+H629+I629+J629</f>
        <v>0</v>
      </c>
      <c r="D629" s="1051">
        <f>D631+D633+D635</f>
        <v>0</v>
      </c>
      <c r="E629" s="1052">
        <f t="shared" si="113"/>
        <v>0</v>
      </c>
      <c r="F629" s="1053">
        <f t="shared" si="113"/>
        <v>0</v>
      </c>
      <c r="G629" s="1054">
        <f t="shared" si="113"/>
        <v>0</v>
      </c>
      <c r="H629" s="1051">
        <f t="shared" si="113"/>
        <v>0</v>
      </c>
      <c r="I629" s="1051">
        <f t="shared" si="113"/>
        <v>0</v>
      </c>
      <c r="J629" s="1055">
        <f t="shared" si="113"/>
        <v>0</v>
      </c>
    </row>
    <row r="630" spans="1:11" ht="12.75" customHeight="1" x14ac:dyDescent="0.15">
      <c r="A630" s="1001"/>
      <c r="B630" s="963" t="s">
        <v>72</v>
      </c>
      <c r="C630" s="1077">
        <f t="shared" ref="C630:C635" si="114">D630+E630+F630+G630+H630+I630+J630</f>
        <v>0</v>
      </c>
      <c r="D630" s="964"/>
      <c r="E630" s="965"/>
      <c r="F630" s="966"/>
      <c r="G630" s="967"/>
      <c r="H630" s="964"/>
      <c r="I630" s="964"/>
      <c r="J630" s="968"/>
    </row>
    <row r="631" spans="1:11" ht="12.75" customHeight="1" x14ac:dyDescent="0.15">
      <c r="A631" s="1002"/>
      <c r="B631" s="1003" t="s">
        <v>73</v>
      </c>
      <c r="C631" s="1004">
        <f t="shared" si="114"/>
        <v>0</v>
      </c>
      <c r="D631" s="1004"/>
      <c r="E631" s="1005"/>
      <c r="F631" s="1006"/>
      <c r="G631" s="1007"/>
      <c r="H631" s="1004"/>
      <c r="I631" s="1004"/>
      <c r="J631" s="1008"/>
    </row>
    <row r="632" spans="1:11" ht="12.75" hidden="1" customHeight="1" x14ac:dyDescent="0.15">
      <c r="A632" s="1001"/>
      <c r="B632" s="963" t="s">
        <v>72</v>
      </c>
      <c r="C632" s="964">
        <f t="shared" si="114"/>
        <v>0</v>
      </c>
      <c r="D632" s="964"/>
      <c r="E632" s="965"/>
      <c r="F632" s="966"/>
      <c r="G632" s="967"/>
      <c r="H632" s="964"/>
      <c r="I632" s="964"/>
      <c r="J632" s="968"/>
    </row>
    <row r="633" spans="1:11" ht="12.75" hidden="1" customHeight="1" x14ac:dyDescent="0.15">
      <c r="A633" s="1002"/>
      <c r="B633" s="1003" t="s">
        <v>73</v>
      </c>
      <c r="C633" s="1004">
        <f t="shared" si="114"/>
        <v>0</v>
      </c>
      <c r="D633" s="1004"/>
      <c r="E633" s="1005"/>
      <c r="F633" s="1006"/>
      <c r="G633" s="1007"/>
      <c r="H633" s="1004"/>
      <c r="I633" s="1004"/>
      <c r="J633" s="1008"/>
    </row>
    <row r="634" spans="1:11" ht="12.75" hidden="1" customHeight="1" x14ac:dyDescent="0.15">
      <c r="A634" s="1001"/>
      <c r="B634" s="963" t="s">
        <v>72</v>
      </c>
      <c r="C634" s="964">
        <f t="shared" si="114"/>
        <v>0</v>
      </c>
      <c r="D634" s="964"/>
      <c r="E634" s="965"/>
      <c r="F634" s="966"/>
      <c r="G634" s="967"/>
      <c r="H634" s="964"/>
      <c r="I634" s="964"/>
      <c r="J634" s="968"/>
    </row>
    <row r="635" spans="1:11" ht="12.75" hidden="1" customHeight="1" thickBot="1" x14ac:dyDescent="0.2">
      <c r="A635" s="1106"/>
      <c r="B635" s="1107" t="s">
        <v>73</v>
      </c>
      <c r="C635" s="1108">
        <f t="shared" si="114"/>
        <v>0</v>
      </c>
      <c r="D635" s="1108"/>
      <c r="E635" s="1109"/>
      <c r="F635" s="1110"/>
      <c r="G635" s="1111"/>
      <c r="H635" s="1108"/>
      <c r="I635" s="1108"/>
      <c r="J635" s="1112"/>
    </row>
    <row r="636" spans="1:11" x14ac:dyDescent="0.15">
      <c r="A636" s="1113"/>
      <c r="J636" s="1114"/>
    </row>
    <row r="637" spans="1:11" ht="12" customHeight="1" thickBot="1" x14ac:dyDescent="0.2">
      <c r="A637" s="1113"/>
      <c r="J637" s="1114"/>
    </row>
    <row r="638" spans="1:11" ht="10.5" customHeight="1" x14ac:dyDescent="0.15">
      <c r="A638" s="1471" t="s">
        <v>529</v>
      </c>
      <c r="B638" s="1473" t="s">
        <v>530</v>
      </c>
      <c r="C638" s="1475" t="s">
        <v>338</v>
      </c>
      <c r="D638" s="1477" t="s">
        <v>348</v>
      </c>
      <c r="E638" s="1477" t="s">
        <v>484</v>
      </c>
      <c r="F638" s="1477" t="s">
        <v>514</v>
      </c>
      <c r="G638" s="1477" t="s">
        <v>525</v>
      </c>
      <c r="H638" s="1489" t="s">
        <v>531</v>
      </c>
      <c r="I638" s="1490"/>
      <c r="J638" s="1114"/>
    </row>
    <row r="639" spans="1:11" ht="12" customHeight="1" x14ac:dyDescent="0.15">
      <c r="A639" s="1472"/>
      <c r="B639" s="1474"/>
      <c r="C639" s="1476"/>
      <c r="D639" s="1478"/>
      <c r="E639" s="1478"/>
      <c r="F639" s="1478"/>
      <c r="G639" s="1478"/>
      <c r="H639" s="1491"/>
      <c r="I639" s="1492"/>
      <c r="J639" s="1114"/>
    </row>
    <row r="640" spans="1:11" ht="12" customHeight="1" x14ac:dyDescent="0.15">
      <c r="A640" s="1493" t="s">
        <v>31</v>
      </c>
      <c r="B640" s="1115" t="s">
        <v>72</v>
      </c>
      <c r="C640" s="1116">
        <f t="shared" ref="C640:H641" si="115">C642+C644+C646</f>
        <v>2910</v>
      </c>
      <c r="D640" s="1116">
        <f t="shared" si="115"/>
        <v>17800</v>
      </c>
      <c r="E640" s="1116">
        <f t="shared" si="115"/>
        <v>0</v>
      </c>
      <c r="F640" s="1116">
        <f t="shared" si="115"/>
        <v>109</v>
      </c>
      <c r="G640" s="1116">
        <f t="shared" si="115"/>
        <v>2663</v>
      </c>
      <c r="H640" s="1494">
        <f t="shared" si="115"/>
        <v>23482.19</v>
      </c>
      <c r="I640" s="1495"/>
      <c r="J640" s="1114"/>
    </row>
    <row r="641" spans="1:14" ht="12" customHeight="1" x14ac:dyDescent="0.15">
      <c r="A641" s="1472"/>
      <c r="B641" s="1115" t="s">
        <v>73</v>
      </c>
      <c r="C641" s="1116">
        <f t="shared" si="115"/>
        <v>10233</v>
      </c>
      <c r="D641" s="1116">
        <f t="shared" si="115"/>
        <v>9277</v>
      </c>
      <c r="E641" s="1116">
        <f t="shared" si="115"/>
        <v>0</v>
      </c>
      <c r="F641" s="1116">
        <f t="shared" si="115"/>
        <v>109</v>
      </c>
      <c r="G641" s="1116">
        <f t="shared" si="115"/>
        <v>353</v>
      </c>
      <c r="H641" s="1494">
        <f t="shared" si="115"/>
        <v>19972</v>
      </c>
      <c r="I641" s="1495"/>
      <c r="J641" s="1114"/>
    </row>
    <row r="642" spans="1:14" ht="12" customHeight="1" x14ac:dyDescent="0.15">
      <c r="A642" s="1496" t="s">
        <v>532</v>
      </c>
      <c r="B642" s="1117" t="s">
        <v>72</v>
      </c>
      <c r="C642" s="1118">
        <v>0</v>
      </c>
      <c r="D642" s="1119">
        <f>F158+F160+F162+F164+F166+F168</f>
        <v>8523.19</v>
      </c>
      <c r="E642" s="1120">
        <v>0</v>
      </c>
      <c r="F642" s="1120">
        <v>0</v>
      </c>
      <c r="G642" s="1120">
        <v>0</v>
      </c>
      <c r="H642" s="1498">
        <f>SUM(C642:G642)</f>
        <v>8523.19</v>
      </c>
      <c r="I642" s="1499"/>
      <c r="J642" s="1114"/>
    </row>
    <row r="643" spans="1:14" ht="12" customHeight="1" x14ac:dyDescent="0.15">
      <c r="A643" s="1497"/>
      <c r="B643" s="1117" t="s">
        <v>73</v>
      </c>
      <c r="C643" s="1118">
        <v>0</v>
      </c>
      <c r="D643" s="1119">
        <f>F159+F161+F163+F165+F167+F169</f>
        <v>0</v>
      </c>
      <c r="E643" s="1120">
        <v>0</v>
      </c>
      <c r="F643" s="1120">
        <v>0</v>
      </c>
      <c r="G643" s="1120">
        <v>0</v>
      </c>
      <c r="H643" s="1498">
        <f>SUM(C643:G643)</f>
        <v>0</v>
      </c>
      <c r="I643" s="1499"/>
      <c r="J643" s="1114"/>
    </row>
    <row r="644" spans="1:14" ht="12" customHeight="1" x14ac:dyDescent="0.15">
      <c r="A644" s="1479" t="s">
        <v>533</v>
      </c>
      <c r="B644" s="1121" t="s">
        <v>72</v>
      </c>
      <c r="C644" s="1122">
        <v>0</v>
      </c>
      <c r="D644" s="1123">
        <f>F424+F426+F428+F430+F432+F434+F436</f>
        <v>1416</v>
      </c>
      <c r="E644" s="1123">
        <v>0</v>
      </c>
      <c r="F644" s="1123">
        <v>0</v>
      </c>
      <c r="G644" s="1123">
        <v>0</v>
      </c>
      <c r="H644" s="1481">
        <f>SUM(C644:G644)</f>
        <v>1416</v>
      </c>
      <c r="I644" s="1482"/>
      <c r="J644" s="1114"/>
    </row>
    <row r="645" spans="1:14" ht="12" customHeight="1" x14ac:dyDescent="0.15">
      <c r="A645" s="1480"/>
      <c r="B645" s="1124" t="s">
        <v>73</v>
      </c>
      <c r="C645" s="1122">
        <v>0</v>
      </c>
      <c r="D645" s="1123">
        <f>F425+F427+F429+F431+F433+F435+F437</f>
        <v>1416</v>
      </c>
      <c r="E645" s="1123">
        <v>0</v>
      </c>
      <c r="F645" s="1123">
        <v>0</v>
      </c>
      <c r="G645" s="1123">
        <v>0</v>
      </c>
      <c r="H645" s="1481">
        <f>SUM(C645:G645)</f>
        <v>1416</v>
      </c>
      <c r="I645" s="1482"/>
      <c r="J645" s="1114"/>
    </row>
    <row r="646" spans="1:14" ht="12" customHeight="1" x14ac:dyDescent="0.15">
      <c r="A646" s="1483" t="s">
        <v>534</v>
      </c>
      <c r="B646" s="1125" t="s">
        <v>72</v>
      </c>
      <c r="C646" s="1126">
        <f>F56+F58+F60+F62+F527+F529+F531+F608+F610+F612+F614+F616+F618</f>
        <v>2910</v>
      </c>
      <c r="D646" s="1127">
        <f>F192+F194+F196+F198+F200+F202+F204+F206+F208+F210+F212+F214+F216+F218+F220+F222+F224+F226+F228+F230+F232+F234+F236+F238+F240+F242+F244+F246+F248+F250+F252+F254+F256++F258+F260+F262+F264+F266+F268+F270+F272+F274+F276+F278+F280+F282+F284+F286+F288+F290+F292+F294+F296+F298+F300+F302+F304+F306+F308+F310+F312+F314+F316+F318+F320+F322+F324+F326+F328+F330+F332+F334+F336+F338+F340+F342+F344+F346+F348+F350+F352+F354+F356+F358+F360+F362+F364+F366+F368+F370+F372+F374+F376+F378+F380+F382+F384+F386+F388+F390+F392+F394+F396+F398+F400+F402+F404+F406+F408+F410+F414+F416+F418+F420</f>
        <v>7861</v>
      </c>
      <c r="E646" s="1127">
        <v>0</v>
      </c>
      <c r="F646" s="1127">
        <f>F579+F581</f>
        <v>109</v>
      </c>
      <c r="G646" s="1127">
        <f>F620+F622+F624+F626</f>
        <v>2663</v>
      </c>
      <c r="H646" s="1485">
        <f>C646+D646+E646+F646+G646</f>
        <v>13543</v>
      </c>
      <c r="I646" s="1486"/>
      <c r="J646" s="1114"/>
    </row>
    <row r="647" spans="1:14" ht="12" customHeight="1" thickBot="1" x14ac:dyDescent="0.2">
      <c r="A647" s="1484"/>
      <c r="B647" s="1128" t="s">
        <v>73</v>
      </c>
      <c r="C647" s="1129">
        <f>F57+F59+F61+F63+F528+F530+F532+F609+F611+F613+F615+F617+F619</f>
        <v>10233</v>
      </c>
      <c r="D647" s="1127">
        <f>F193+F195+F197+F199+F201+F203+F205+F207+F209+F211+F213+F215+F217+F219+F221+F223+F225+F227+F229+F231+F233+F235+F237+F239+F241+F243+F245+F247+F249+F251+F253+F255+F257++F259+F261+F263+F265+F267+F269+F271+F273+F275+F277+F279+F281+F283+F285+F287+F289+F291+F293+F295+F297+F299+F301+F303+F305+F307+F309+F311+F313+F315+F317+F319+F321+F323+F325+F327+F329+F331+F333+F335+F337+F339+F341+F343+F345+F347+F349+F351+F353+F355+F357+F359+F361+F363+F365+F367+F369+F371+F373+F375+F377+F379+F381+F383+F385+F387+F389+F391+F393+F395+F397+F399+F401+F403+F405+F407+F409+F411+F415+F417+F419+F421</f>
        <v>7861</v>
      </c>
      <c r="E647" s="1130">
        <v>0</v>
      </c>
      <c r="F647" s="1130">
        <f>F580+F582</f>
        <v>109</v>
      </c>
      <c r="G647" s="1130">
        <f>F621+F623+F625+F627</f>
        <v>353</v>
      </c>
      <c r="H647" s="1487">
        <f>C647+D647+E647+F647+G647</f>
        <v>18556</v>
      </c>
      <c r="I647" s="1488"/>
      <c r="J647" s="1131"/>
    </row>
    <row r="648" spans="1:14" ht="12" customHeight="1" x14ac:dyDescent="0.15"/>
    <row r="649" spans="1:14" ht="12.75" customHeight="1" x14ac:dyDescent="0.15">
      <c r="A649" s="801" t="s">
        <v>535</v>
      </c>
      <c r="B649" s="801"/>
      <c r="C649" s="801"/>
      <c r="D649" s="1132" t="s">
        <v>536</v>
      </c>
      <c r="E649" s="1133"/>
      <c r="G649" s="1133"/>
      <c r="H649" s="1502" t="s">
        <v>537</v>
      </c>
      <c r="I649" s="1502"/>
      <c r="J649" s="1502"/>
      <c r="K649" s="1133"/>
      <c r="M649" s="798"/>
      <c r="N649" s="798"/>
    </row>
    <row r="650" spans="1:14" ht="8.25" customHeight="1" x14ac:dyDescent="0.15">
      <c r="A650" s="1134"/>
      <c r="B650" s="798"/>
      <c r="C650" s="1135"/>
      <c r="D650" s="1132"/>
      <c r="E650" s="1133"/>
      <c r="G650" s="1133"/>
      <c r="H650" s="1132"/>
      <c r="I650" s="1132"/>
      <c r="J650" s="1133"/>
      <c r="K650" s="1133"/>
      <c r="M650" s="798"/>
      <c r="N650" s="798"/>
    </row>
    <row r="651" spans="1:14" ht="12" customHeight="1" x14ac:dyDescent="0.15">
      <c r="A651" s="801" t="s">
        <v>538</v>
      </c>
      <c r="B651" s="801"/>
      <c r="C651" s="801"/>
      <c r="D651" s="1132" t="s">
        <v>288</v>
      </c>
      <c r="E651" s="1133"/>
      <c r="G651" s="1133"/>
      <c r="H651" s="1502" t="s">
        <v>289</v>
      </c>
      <c r="I651" s="1502"/>
      <c r="J651" s="1502"/>
      <c r="K651" s="1133"/>
      <c r="M651" s="798"/>
      <c r="N651" s="798"/>
    </row>
    <row r="652" spans="1:14" x14ac:dyDescent="0.15">
      <c r="K652" s="1133"/>
      <c r="L652" s="1133"/>
      <c r="M652" s="1133"/>
      <c r="N652" s="1133"/>
    </row>
    <row r="653" spans="1:14" ht="9.75" customHeight="1" x14ac:dyDescent="0.15">
      <c r="K653" s="1136"/>
      <c r="L653" s="1137"/>
      <c r="N653" s="1133"/>
    </row>
    <row r="654" spans="1:14" x14ac:dyDescent="0.15">
      <c r="H654" s="800" t="s">
        <v>539</v>
      </c>
    </row>
    <row r="656" spans="1:14" x14ac:dyDescent="0.15">
      <c r="A656" s="1503" t="s">
        <v>290</v>
      </c>
      <c r="B656" s="1503"/>
      <c r="C656" s="1503"/>
      <c r="D656" s="1503"/>
      <c r="E656" s="1503"/>
      <c r="F656" s="1503"/>
      <c r="G656" s="1503"/>
      <c r="H656" s="1503"/>
      <c r="I656" s="1503"/>
      <c r="J656" s="1503"/>
    </row>
    <row r="657" spans="1:10" x14ac:dyDescent="0.15">
      <c r="A657" s="1503" t="s">
        <v>291</v>
      </c>
      <c r="B657" s="1503"/>
      <c r="C657" s="1503"/>
      <c r="D657" s="1503"/>
      <c r="E657" s="1503"/>
      <c r="F657" s="1503"/>
      <c r="G657" s="1503"/>
      <c r="H657" s="1503"/>
      <c r="I657" s="1503"/>
      <c r="J657" s="1503"/>
    </row>
    <row r="658" spans="1:10" x14ac:dyDescent="0.15">
      <c r="A658" s="1504" t="s">
        <v>292</v>
      </c>
      <c r="B658" s="1504"/>
      <c r="C658" s="1504"/>
      <c r="D658" s="1504"/>
      <c r="E658" s="1504"/>
      <c r="F658" s="1504"/>
      <c r="G658" s="1504"/>
      <c r="H658" s="1504"/>
      <c r="I658" s="1504"/>
      <c r="J658" s="1504"/>
    </row>
    <row r="659" spans="1:10" ht="12" customHeight="1" x14ac:dyDescent="0.2">
      <c r="B659" s="1138"/>
      <c r="C659" s="1138"/>
      <c r="D659" s="1138"/>
      <c r="E659" s="1138"/>
      <c r="F659" s="1139"/>
      <c r="G659" s="1139"/>
      <c r="H659" s="1139"/>
    </row>
    <row r="660" spans="1:10" ht="11.25" customHeight="1" x14ac:dyDescent="0.15">
      <c r="A660" s="1503" t="s">
        <v>293</v>
      </c>
      <c r="B660" s="1503"/>
      <c r="C660" s="1503"/>
      <c r="D660" s="1503"/>
      <c r="E660" s="1501" t="s">
        <v>540</v>
      </c>
      <c r="F660" s="1501"/>
      <c r="G660" s="1501"/>
      <c r="H660" s="1501"/>
      <c r="I660" s="1501"/>
    </row>
    <row r="661" spans="1:10" ht="9.75" customHeight="1" x14ac:dyDescent="0.2">
      <c r="B661" s="1140"/>
      <c r="C661" s="1138"/>
      <c r="D661" s="1138"/>
      <c r="E661" s="1138"/>
      <c r="F661" s="1138"/>
      <c r="G661" s="1138"/>
      <c r="H661" s="1138"/>
    </row>
    <row r="662" spans="1:10" ht="12" customHeight="1" x14ac:dyDescent="0.2">
      <c r="A662" s="1500" t="s">
        <v>295</v>
      </c>
      <c r="B662" s="1500"/>
      <c r="C662" s="1500"/>
      <c r="D662" s="1500"/>
      <c r="E662" s="1138"/>
      <c r="F662" s="1501" t="s">
        <v>296</v>
      </c>
      <c r="G662" s="1501"/>
      <c r="H662" s="1501"/>
    </row>
  </sheetData>
  <mergeCells count="436">
    <mergeCell ref="A662:D662"/>
    <mergeCell ref="F662:H662"/>
    <mergeCell ref="H649:J649"/>
    <mergeCell ref="H651:J651"/>
    <mergeCell ref="A656:J656"/>
    <mergeCell ref="A657:J657"/>
    <mergeCell ref="A658:J658"/>
    <mergeCell ref="A660:D660"/>
    <mergeCell ref="E660:I660"/>
    <mergeCell ref="A644:A645"/>
    <mergeCell ref="H644:I644"/>
    <mergeCell ref="H645:I645"/>
    <mergeCell ref="A646:A647"/>
    <mergeCell ref="H646:I646"/>
    <mergeCell ref="H647:I647"/>
    <mergeCell ref="G638:G639"/>
    <mergeCell ref="H638:I639"/>
    <mergeCell ref="A640:A641"/>
    <mergeCell ref="H640:I640"/>
    <mergeCell ref="H641:I641"/>
    <mergeCell ref="A642:A643"/>
    <mergeCell ref="H642:I642"/>
    <mergeCell ref="H643:I643"/>
    <mergeCell ref="A624:A625"/>
    <mergeCell ref="K624:K625"/>
    <mergeCell ref="A626:A627"/>
    <mergeCell ref="K626:K627"/>
    <mergeCell ref="A638:A639"/>
    <mergeCell ref="B638:B639"/>
    <mergeCell ref="C638:C639"/>
    <mergeCell ref="D638:D639"/>
    <mergeCell ref="E638:E639"/>
    <mergeCell ref="F638:F639"/>
    <mergeCell ref="A618:A619"/>
    <mergeCell ref="K618:K619"/>
    <mergeCell ref="A620:A621"/>
    <mergeCell ref="K620:K621"/>
    <mergeCell ref="A622:A623"/>
    <mergeCell ref="K622:K623"/>
    <mergeCell ref="A612:A613"/>
    <mergeCell ref="K612:K613"/>
    <mergeCell ref="A614:A615"/>
    <mergeCell ref="K614:K615"/>
    <mergeCell ref="A616:A617"/>
    <mergeCell ref="K616:K617"/>
    <mergeCell ref="A589:J589"/>
    <mergeCell ref="A590:A591"/>
    <mergeCell ref="A594:A595"/>
    <mergeCell ref="A608:A609"/>
    <mergeCell ref="K608:K609"/>
    <mergeCell ref="A610:A611"/>
    <mergeCell ref="K610:K611"/>
    <mergeCell ref="A579:A580"/>
    <mergeCell ref="K579:K580"/>
    <mergeCell ref="A581:A582"/>
    <mergeCell ref="K581:K582"/>
    <mergeCell ref="A585:A586"/>
    <mergeCell ref="K585:K586"/>
    <mergeCell ref="A537:J537"/>
    <mergeCell ref="A538:A539"/>
    <mergeCell ref="A542:A543"/>
    <mergeCell ref="A562:J562"/>
    <mergeCell ref="A563:A564"/>
    <mergeCell ref="A567:A568"/>
    <mergeCell ref="A517:A518"/>
    <mergeCell ref="A527:A528"/>
    <mergeCell ref="K527:K528"/>
    <mergeCell ref="A529:A530"/>
    <mergeCell ref="K529:K530"/>
    <mergeCell ref="A531:A532"/>
    <mergeCell ref="K531:K532"/>
    <mergeCell ref="A498:A499"/>
    <mergeCell ref="K498:K499"/>
    <mergeCell ref="A500:A501"/>
    <mergeCell ref="K500:K501"/>
    <mergeCell ref="A512:J512"/>
    <mergeCell ref="A513:A514"/>
    <mergeCell ref="A492:A493"/>
    <mergeCell ref="K492:K493"/>
    <mergeCell ref="A494:A495"/>
    <mergeCell ref="K494:K495"/>
    <mergeCell ref="A496:A497"/>
    <mergeCell ref="K496:K497"/>
    <mergeCell ref="A486:A487"/>
    <mergeCell ref="K486:K487"/>
    <mergeCell ref="A488:A489"/>
    <mergeCell ref="K488:K489"/>
    <mergeCell ref="A490:A491"/>
    <mergeCell ref="K490:K491"/>
    <mergeCell ref="A480:A481"/>
    <mergeCell ref="K480:K481"/>
    <mergeCell ref="A482:A483"/>
    <mergeCell ref="K482:K483"/>
    <mergeCell ref="A484:A485"/>
    <mergeCell ref="K484:K485"/>
    <mergeCell ref="A474:A475"/>
    <mergeCell ref="K474:K475"/>
    <mergeCell ref="A476:A477"/>
    <mergeCell ref="K476:K477"/>
    <mergeCell ref="A478:A479"/>
    <mergeCell ref="K478:K479"/>
    <mergeCell ref="A468:A469"/>
    <mergeCell ref="K468:K469"/>
    <mergeCell ref="A470:A471"/>
    <mergeCell ref="K470:K471"/>
    <mergeCell ref="A472:A473"/>
    <mergeCell ref="K472:K473"/>
    <mergeCell ref="A462:A463"/>
    <mergeCell ref="K462:K463"/>
    <mergeCell ref="A464:A465"/>
    <mergeCell ref="K464:K465"/>
    <mergeCell ref="A466:A467"/>
    <mergeCell ref="K466:K467"/>
    <mergeCell ref="A456:A457"/>
    <mergeCell ref="K456:K457"/>
    <mergeCell ref="A458:A459"/>
    <mergeCell ref="K458:K459"/>
    <mergeCell ref="A460:A461"/>
    <mergeCell ref="K460:K461"/>
    <mergeCell ref="A450:A451"/>
    <mergeCell ref="K450:K451"/>
    <mergeCell ref="A452:A453"/>
    <mergeCell ref="K452:K453"/>
    <mergeCell ref="A454:A455"/>
    <mergeCell ref="K454:K455"/>
    <mergeCell ref="A444:A445"/>
    <mergeCell ref="K444:K445"/>
    <mergeCell ref="A446:A447"/>
    <mergeCell ref="K446:K447"/>
    <mergeCell ref="A448:A449"/>
    <mergeCell ref="K448:K449"/>
    <mergeCell ref="A438:A439"/>
    <mergeCell ref="K438:K439"/>
    <mergeCell ref="A440:A441"/>
    <mergeCell ref="K440:K441"/>
    <mergeCell ref="A442:A443"/>
    <mergeCell ref="K442:K443"/>
    <mergeCell ref="A432:A433"/>
    <mergeCell ref="K432:K433"/>
    <mergeCell ref="A434:A435"/>
    <mergeCell ref="K434:K435"/>
    <mergeCell ref="A436:A437"/>
    <mergeCell ref="K436:K437"/>
    <mergeCell ref="A426:A427"/>
    <mergeCell ref="K426:K427"/>
    <mergeCell ref="A428:A429"/>
    <mergeCell ref="K428:K429"/>
    <mergeCell ref="A430:A431"/>
    <mergeCell ref="K430:K431"/>
    <mergeCell ref="A418:A419"/>
    <mergeCell ref="K418:K419"/>
    <mergeCell ref="A420:A421"/>
    <mergeCell ref="K420:K421"/>
    <mergeCell ref="A424:A425"/>
    <mergeCell ref="K424:K425"/>
    <mergeCell ref="A412:A413"/>
    <mergeCell ref="K412:K413"/>
    <mergeCell ref="A414:A415"/>
    <mergeCell ref="K414:K415"/>
    <mergeCell ref="A416:A417"/>
    <mergeCell ref="K416:K417"/>
    <mergeCell ref="A406:A407"/>
    <mergeCell ref="K406:K407"/>
    <mergeCell ref="A408:A409"/>
    <mergeCell ref="K408:K409"/>
    <mergeCell ref="A410:A411"/>
    <mergeCell ref="K410:K411"/>
    <mergeCell ref="A400:A401"/>
    <mergeCell ref="K400:K401"/>
    <mergeCell ref="A402:A403"/>
    <mergeCell ref="K402:K403"/>
    <mergeCell ref="A404:A405"/>
    <mergeCell ref="K404:K405"/>
    <mergeCell ref="A394:A395"/>
    <mergeCell ref="K394:K395"/>
    <mergeCell ref="A396:A397"/>
    <mergeCell ref="K396:K397"/>
    <mergeCell ref="A398:A399"/>
    <mergeCell ref="K398:K399"/>
    <mergeCell ref="A388:A389"/>
    <mergeCell ref="K388:K389"/>
    <mergeCell ref="A390:A391"/>
    <mergeCell ref="K390:K391"/>
    <mergeCell ref="A392:A393"/>
    <mergeCell ref="K392:K393"/>
    <mergeCell ref="A382:A383"/>
    <mergeCell ref="K382:K383"/>
    <mergeCell ref="A384:A385"/>
    <mergeCell ref="K384:K385"/>
    <mergeCell ref="A386:A387"/>
    <mergeCell ref="K386:K387"/>
    <mergeCell ref="A376:A377"/>
    <mergeCell ref="K376:K377"/>
    <mergeCell ref="A378:A379"/>
    <mergeCell ref="K378:K379"/>
    <mergeCell ref="A380:A381"/>
    <mergeCell ref="K380:K381"/>
    <mergeCell ref="A370:A371"/>
    <mergeCell ref="K370:K371"/>
    <mergeCell ref="A372:A373"/>
    <mergeCell ref="K372:K373"/>
    <mergeCell ref="A374:A375"/>
    <mergeCell ref="K374:K375"/>
    <mergeCell ref="A364:A365"/>
    <mergeCell ref="K364:K365"/>
    <mergeCell ref="A366:A367"/>
    <mergeCell ref="K366:K367"/>
    <mergeCell ref="A368:A369"/>
    <mergeCell ref="K368:K369"/>
    <mergeCell ref="A358:A359"/>
    <mergeCell ref="K358:K359"/>
    <mergeCell ref="A360:A361"/>
    <mergeCell ref="K360:K361"/>
    <mergeCell ref="A362:A363"/>
    <mergeCell ref="K362:K363"/>
    <mergeCell ref="A352:A353"/>
    <mergeCell ref="K352:K353"/>
    <mergeCell ref="A354:A355"/>
    <mergeCell ref="K354:K355"/>
    <mergeCell ref="A356:A357"/>
    <mergeCell ref="K356:K357"/>
    <mergeCell ref="A346:A347"/>
    <mergeCell ref="K346:K347"/>
    <mergeCell ref="A348:A349"/>
    <mergeCell ref="K348:K349"/>
    <mergeCell ref="A350:A351"/>
    <mergeCell ref="K350:K351"/>
    <mergeCell ref="A340:A341"/>
    <mergeCell ref="K340:K341"/>
    <mergeCell ref="A342:A343"/>
    <mergeCell ref="K342:K343"/>
    <mergeCell ref="A344:A345"/>
    <mergeCell ref="K344:K345"/>
    <mergeCell ref="A334:A335"/>
    <mergeCell ref="K334:K335"/>
    <mergeCell ref="A336:A337"/>
    <mergeCell ref="K336:K337"/>
    <mergeCell ref="A338:A339"/>
    <mergeCell ref="K338:K339"/>
    <mergeCell ref="A328:A329"/>
    <mergeCell ref="K328:K329"/>
    <mergeCell ref="A330:A331"/>
    <mergeCell ref="K330:K331"/>
    <mergeCell ref="A332:A333"/>
    <mergeCell ref="K332:K333"/>
    <mergeCell ref="A322:A323"/>
    <mergeCell ref="K322:K323"/>
    <mergeCell ref="A324:A325"/>
    <mergeCell ref="K324:K325"/>
    <mergeCell ref="A326:A327"/>
    <mergeCell ref="K326:K327"/>
    <mergeCell ref="A316:A317"/>
    <mergeCell ref="K316:K317"/>
    <mergeCell ref="A318:A319"/>
    <mergeCell ref="K318:K319"/>
    <mergeCell ref="A320:A321"/>
    <mergeCell ref="K320:K321"/>
    <mergeCell ref="A310:A311"/>
    <mergeCell ref="K310:K311"/>
    <mergeCell ref="A312:A313"/>
    <mergeCell ref="K312:K313"/>
    <mergeCell ref="A314:A315"/>
    <mergeCell ref="K314:K315"/>
    <mergeCell ref="A304:A305"/>
    <mergeCell ref="K304:K305"/>
    <mergeCell ref="A306:A307"/>
    <mergeCell ref="K306:K307"/>
    <mergeCell ref="A308:A309"/>
    <mergeCell ref="K308:K309"/>
    <mergeCell ref="A298:A299"/>
    <mergeCell ref="K298:K299"/>
    <mergeCell ref="A300:A301"/>
    <mergeCell ref="K300:K301"/>
    <mergeCell ref="A302:A303"/>
    <mergeCell ref="K302:K303"/>
    <mergeCell ref="A292:A293"/>
    <mergeCell ref="K292:K293"/>
    <mergeCell ref="A294:A295"/>
    <mergeCell ref="K294:K295"/>
    <mergeCell ref="A296:A297"/>
    <mergeCell ref="K296:K297"/>
    <mergeCell ref="A286:A287"/>
    <mergeCell ref="K286:K287"/>
    <mergeCell ref="A288:A289"/>
    <mergeCell ref="K288:K289"/>
    <mergeCell ref="A290:A291"/>
    <mergeCell ref="K290:K291"/>
    <mergeCell ref="A280:A281"/>
    <mergeCell ref="K280:K281"/>
    <mergeCell ref="A282:A283"/>
    <mergeCell ref="K282:K283"/>
    <mergeCell ref="A284:A285"/>
    <mergeCell ref="K284:K285"/>
    <mergeCell ref="A274:A275"/>
    <mergeCell ref="K274:K275"/>
    <mergeCell ref="A276:A277"/>
    <mergeCell ref="K276:K277"/>
    <mergeCell ref="A278:A279"/>
    <mergeCell ref="K278:K279"/>
    <mergeCell ref="A268:A269"/>
    <mergeCell ref="K268:K269"/>
    <mergeCell ref="A270:A271"/>
    <mergeCell ref="K270:K271"/>
    <mergeCell ref="A272:A273"/>
    <mergeCell ref="K272:K273"/>
    <mergeCell ref="A262:A263"/>
    <mergeCell ref="K262:K263"/>
    <mergeCell ref="A264:A265"/>
    <mergeCell ref="K264:K265"/>
    <mergeCell ref="A266:A267"/>
    <mergeCell ref="K266:K267"/>
    <mergeCell ref="A256:A257"/>
    <mergeCell ref="K256:K257"/>
    <mergeCell ref="A258:A259"/>
    <mergeCell ref="K258:K259"/>
    <mergeCell ref="A260:A261"/>
    <mergeCell ref="K260:K261"/>
    <mergeCell ref="A250:A251"/>
    <mergeCell ref="K250:K251"/>
    <mergeCell ref="A252:A253"/>
    <mergeCell ref="K252:K253"/>
    <mergeCell ref="A254:A255"/>
    <mergeCell ref="K254:K255"/>
    <mergeCell ref="A244:A245"/>
    <mergeCell ref="K244:K245"/>
    <mergeCell ref="A246:A247"/>
    <mergeCell ref="K246:K247"/>
    <mergeCell ref="A248:A249"/>
    <mergeCell ref="K248:K249"/>
    <mergeCell ref="A238:A239"/>
    <mergeCell ref="K238:K239"/>
    <mergeCell ref="A240:A241"/>
    <mergeCell ref="K240:K241"/>
    <mergeCell ref="A242:A243"/>
    <mergeCell ref="K242:K243"/>
    <mergeCell ref="A232:A233"/>
    <mergeCell ref="K232:K233"/>
    <mergeCell ref="A234:A235"/>
    <mergeCell ref="K234:K235"/>
    <mergeCell ref="A236:A237"/>
    <mergeCell ref="K236:K237"/>
    <mergeCell ref="A226:A227"/>
    <mergeCell ref="K226:K227"/>
    <mergeCell ref="A228:A229"/>
    <mergeCell ref="K228:K229"/>
    <mergeCell ref="A230:A231"/>
    <mergeCell ref="K230:K231"/>
    <mergeCell ref="A220:A221"/>
    <mergeCell ref="K220:K221"/>
    <mergeCell ref="A222:A223"/>
    <mergeCell ref="K222:K223"/>
    <mergeCell ref="A224:A225"/>
    <mergeCell ref="K224:K225"/>
    <mergeCell ref="A214:A215"/>
    <mergeCell ref="K214:K215"/>
    <mergeCell ref="A216:A217"/>
    <mergeCell ref="K216:K217"/>
    <mergeCell ref="A218:A219"/>
    <mergeCell ref="K218:K219"/>
    <mergeCell ref="A208:A209"/>
    <mergeCell ref="K208:K209"/>
    <mergeCell ref="A210:A211"/>
    <mergeCell ref="K210:K211"/>
    <mergeCell ref="A212:A213"/>
    <mergeCell ref="K212:K213"/>
    <mergeCell ref="A202:A203"/>
    <mergeCell ref="K202:K203"/>
    <mergeCell ref="A204:A205"/>
    <mergeCell ref="K204:K205"/>
    <mergeCell ref="A206:A207"/>
    <mergeCell ref="K206:K207"/>
    <mergeCell ref="A196:A197"/>
    <mergeCell ref="K196:K197"/>
    <mergeCell ref="A198:A199"/>
    <mergeCell ref="K198:K199"/>
    <mergeCell ref="A200:A201"/>
    <mergeCell ref="K200:K201"/>
    <mergeCell ref="A168:A169"/>
    <mergeCell ref="K168:K169"/>
    <mergeCell ref="A192:A193"/>
    <mergeCell ref="K192:K193"/>
    <mergeCell ref="A194:A195"/>
    <mergeCell ref="K194:K195"/>
    <mergeCell ref="A162:A163"/>
    <mergeCell ref="K162:K163"/>
    <mergeCell ref="A164:A165"/>
    <mergeCell ref="K164:K165"/>
    <mergeCell ref="A166:A167"/>
    <mergeCell ref="K166:K167"/>
    <mergeCell ref="A151:J151"/>
    <mergeCell ref="A152:A153"/>
    <mergeCell ref="A156:A157"/>
    <mergeCell ref="A158:A159"/>
    <mergeCell ref="K158:K159"/>
    <mergeCell ref="A160:A161"/>
    <mergeCell ref="K160:K161"/>
    <mergeCell ref="A103:J103"/>
    <mergeCell ref="A104:A105"/>
    <mergeCell ref="A108:A109"/>
    <mergeCell ref="A118:J118"/>
    <mergeCell ref="A119:A120"/>
    <mergeCell ref="A123:A124"/>
    <mergeCell ref="A60:A61"/>
    <mergeCell ref="K60:K61"/>
    <mergeCell ref="A62:A63"/>
    <mergeCell ref="K62:K63"/>
    <mergeCell ref="A71:A72"/>
    <mergeCell ref="A75:A76"/>
    <mergeCell ref="A37:J37"/>
    <mergeCell ref="A38:A39"/>
    <mergeCell ref="A42:A43"/>
    <mergeCell ref="A56:A57"/>
    <mergeCell ref="K56:K57"/>
    <mergeCell ref="A58:A59"/>
    <mergeCell ref="K58:K59"/>
    <mergeCell ref="A21:J21"/>
    <mergeCell ref="A22:A23"/>
    <mergeCell ref="A26:A27"/>
    <mergeCell ref="A32:A33"/>
    <mergeCell ref="A34:A35"/>
    <mergeCell ref="A36:J36"/>
    <mergeCell ref="E2:I2"/>
    <mergeCell ref="E3:I3"/>
    <mergeCell ref="E5:I5"/>
    <mergeCell ref="F7:I7"/>
    <mergeCell ref="F8:I8"/>
    <mergeCell ref="F9:I9"/>
    <mergeCell ref="A11:J11"/>
    <mergeCell ref="A12:J12"/>
    <mergeCell ref="C15:C18"/>
    <mergeCell ref="E15:E18"/>
    <mergeCell ref="F15:F18"/>
    <mergeCell ref="G15:G18"/>
    <mergeCell ref="H15:H18"/>
    <mergeCell ref="I15:I18"/>
    <mergeCell ref="J15:J18"/>
  </mergeCells>
  <printOptions horizontalCentered="1"/>
  <pageMargins left="0.19685039370078741" right="0.19685039370078741" top="0.31496062992125984" bottom="0.35433070866141736" header="0.15748031496062992" footer="0.31496062992125984"/>
  <pageSetup paperSize="9" scale="98" fitToHeight="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97"/>
  <sheetViews>
    <sheetView zoomScale="80" zoomScaleNormal="80" workbookViewId="0">
      <selection activeCell="F101" sqref="F101"/>
    </sheetView>
  </sheetViews>
  <sheetFormatPr baseColWidth="10" defaultColWidth="9.1640625" defaultRowHeight="15" x14ac:dyDescent="0.2"/>
  <cols>
    <col min="1" max="1" width="47.6640625" style="1" customWidth="1"/>
    <col min="2" max="2" width="10.83203125" style="1" bestFit="1" customWidth="1"/>
    <col min="3" max="3" width="16.5" style="1" customWidth="1"/>
    <col min="4" max="4" width="14.83203125" style="1" customWidth="1"/>
    <col min="5" max="6" width="14.33203125" style="1" customWidth="1"/>
    <col min="7" max="7" width="14.6640625" style="1" customWidth="1"/>
    <col min="8" max="8" width="10.33203125" style="1" bestFit="1" customWidth="1"/>
    <col min="9" max="16384" width="9.1640625" style="1"/>
  </cols>
  <sheetData>
    <row r="1" spans="1:7" ht="43.5" customHeight="1" x14ac:dyDescent="0.2">
      <c r="A1" s="1519" t="s">
        <v>545</v>
      </c>
      <c r="B1" s="1519"/>
      <c r="C1" s="1519"/>
      <c r="D1" s="1519"/>
      <c r="E1" s="1519"/>
      <c r="F1" s="1519"/>
      <c r="G1" s="1519"/>
    </row>
    <row r="2" spans="1:7" ht="19.5" customHeight="1" x14ac:dyDescent="0.2">
      <c r="A2" s="1519" t="s">
        <v>298</v>
      </c>
      <c r="B2" s="1519"/>
      <c r="C2" s="1519"/>
      <c r="D2" s="1519"/>
      <c r="E2" s="1519"/>
      <c r="F2" s="1519"/>
      <c r="G2" s="1519"/>
    </row>
    <row r="3" spans="1:7" ht="18.75" customHeight="1" thickBot="1" x14ac:dyDescent="0.25">
      <c r="A3" s="7"/>
      <c r="B3" s="7"/>
      <c r="C3" s="1150"/>
      <c r="D3" s="1151"/>
      <c r="E3" s="1150"/>
      <c r="F3" s="1151"/>
      <c r="G3" s="1151"/>
    </row>
    <row r="4" spans="1:7" ht="20.25" customHeight="1" thickBot="1" x14ac:dyDescent="0.25">
      <c r="A4" s="1510" t="s">
        <v>20</v>
      </c>
      <c r="B4" s="1514" t="s">
        <v>543</v>
      </c>
      <c r="C4" s="1505" t="s">
        <v>544</v>
      </c>
      <c r="D4" s="1214" t="s">
        <v>542</v>
      </c>
      <c r="E4" s="1214"/>
      <c r="F4" s="1214"/>
      <c r="G4" s="1215"/>
    </row>
    <row r="5" spans="1:7" ht="19.5" customHeight="1" thickBot="1" x14ac:dyDescent="0.25">
      <c r="A5" s="1511"/>
      <c r="B5" s="1515"/>
      <c r="C5" s="1506"/>
      <c r="D5" s="1508" t="s">
        <v>10</v>
      </c>
      <c r="E5" s="1520" t="s">
        <v>13</v>
      </c>
      <c r="F5" s="1522" t="s">
        <v>542</v>
      </c>
      <c r="G5" s="1523"/>
    </row>
    <row r="6" spans="1:7" ht="38.25" customHeight="1" thickBot="1" x14ac:dyDescent="0.25">
      <c r="A6" s="1511"/>
      <c r="B6" s="1515"/>
      <c r="C6" s="1507"/>
      <c r="D6" s="1509"/>
      <c r="E6" s="1521"/>
      <c r="F6" s="1216" t="s">
        <v>300</v>
      </c>
      <c r="G6" s="1217" t="s">
        <v>541</v>
      </c>
    </row>
    <row r="7" spans="1:7" ht="16" thickBot="1" x14ac:dyDescent="0.25">
      <c r="A7" s="1218" t="s">
        <v>98</v>
      </c>
      <c r="B7" s="1213" t="s">
        <v>99</v>
      </c>
      <c r="C7" s="1152">
        <f>C8+C87</f>
        <v>604970227</v>
      </c>
      <c r="D7" s="1153">
        <f>D8+D87</f>
        <v>19405026</v>
      </c>
      <c r="E7" s="1154">
        <f>E8+E87</f>
        <v>585565201</v>
      </c>
      <c r="F7" s="1155">
        <f>F8+F87</f>
        <v>194152119</v>
      </c>
      <c r="G7" s="1156">
        <f>G8+G87</f>
        <v>391413082</v>
      </c>
    </row>
    <row r="8" spans="1:7" x14ac:dyDescent="0.2">
      <c r="A8" s="1219" t="s">
        <v>75</v>
      </c>
      <c r="B8" s="1141" t="s">
        <v>74</v>
      </c>
      <c r="C8" s="1152">
        <f>C9+C35+C64+C68+C82</f>
        <v>595701220</v>
      </c>
      <c r="D8" s="1153">
        <f>D9+D35+D64+D68+D82</f>
        <v>19405026</v>
      </c>
      <c r="E8" s="1154">
        <f>E9+E35+E64+E68+E82</f>
        <v>576296194</v>
      </c>
      <c r="F8" s="1155">
        <f>F9+F35+F64+F68+F82</f>
        <v>192960453</v>
      </c>
      <c r="G8" s="1156">
        <f>G9+G35+G64+G68+G82</f>
        <v>383335741</v>
      </c>
    </row>
    <row r="9" spans="1:7" x14ac:dyDescent="0.2">
      <c r="A9" s="1220" t="s">
        <v>77</v>
      </c>
      <c r="B9" s="1143" t="s">
        <v>33</v>
      </c>
      <c r="C9" s="1157">
        <f>C10+C25+C28</f>
        <v>374337693</v>
      </c>
      <c r="D9" s="1158">
        <f>D10+D25+D28</f>
        <v>0</v>
      </c>
      <c r="E9" s="1159">
        <f>E10+E25+E28</f>
        <v>374337693</v>
      </c>
      <c r="F9" s="1160">
        <f>F10+F25+F28</f>
        <v>54417961</v>
      </c>
      <c r="G9" s="1161">
        <f>G10+G25+G28</f>
        <v>319919732</v>
      </c>
    </row>
    <row r="10" spans="1:7" x14ac:dyDescent="0.2">
      <c r="A10" s="1221" t="s">
        <v>100</v>
      </c>
      <c r="B10" s="1143" t="s">
        <v>101</v>
      </c>
      <c r="C10" s="1157">
        <f>C11+C12+C13+C18+C19+C20+C21+C24</f>
        <v>336867478</v>
      </c>
      <c r="D10" s="1158">
        <f>D11+D12+D13+D18+D19+D20+D21+D24</f>
        <v>0</v>
      </c>
      <c r="E10" s="1159">
        <f>E11+E12+E13+E18+E19+E20+E21+E24</f>
        <v>336867478</v>
      </c>
      <c r="F10" s="1160">
        <f>F11+F12+F13+F18+F19+F20+F21+F24</f>
        <v>48470921</v>
      </c>
      <c r="G10" s="1161">
        <f>G11+G12+G13+G18+G19+G20+G21+G24</f>
        <v>288396557</v>
      </c>
    </row>
    <row r="11" spans="1:7" x14ac:dyDescent="0.2">
      <c r="A11" s="1222" t="s">
        <v>102</v>
      </c>
      <c r="B11" s="1144" t="s">
        <v>103</v>
      </c>
      <c r="C11" s="1162">
        <f>D11+E11</f>
        <v>308002679</v>
      </c>
      <c r="D11" s="1163">
        <v>0</v>
      </c>
      <c r="E11" s="1164">
        <f>F11+G11</f>
        <v>308002679</v>
      </c>
      <c r="F11" s="1165">
        <v>44588372</v>
      </c>
      <c r="G11" s="1163">
        <v>263414307</v>
      </c>
    </row>
    <row r="12" spans="1:7" s="763" customFormat="1" x14ac:dyDescent="0.2">
      <c r="A12" s="1222" t="s">
        <v>105</v>
      </c>
      <c r="B12" s="1144" t="s">
        <v>106</v>
      </c>
      <c r="C12" s="1162">
        <f>D12+E12</f>
        <v>26983727</v>
      </c>
      <c r="D12" s="1163">
        <v>0</v>
      </c>
      <c r="E12" s="1164">
        <f>F12+G12</f>
        <v>26983727</v>
      </c>
      <c r="F12" s="1165">
        <v>3769550</v>
      </c>
      <c r="G12" s="1163">
        <v>23214177</v>
      </c>
    </row>
    <row r="13" spans="1:7" s="777" customFormat="1" ht="15" customHeight="1" x14ac:dyDescent="0.2">
      <c r="A13" s="1222" t="s">
        <v>108</v>
      </c>
      <c r="B13" s="1144" t="s">
        <v>109</v>
      </c>
      <c r="C13" s="1162">
        <f>D13+E13</f>
        <v>138178</v>
      </c>
      <c r="D13" s="1163">
        <v>0</v>
      </c>
      <c r="E13" s="1164">
        <f>F13+G13</f>
        <v>138178</v>
      </c>
      <c r="F13" s="1165">
        <v>0</v>
      </c>
      <c r="G13" s="1163">
        <v>138178</v>
      </c>
    </row>
    <row r="14" spans="1:7" s="777" customFormat="1" ht="15" hidden="1" customHeight="1" x14ac:dyDescent="0.2">
      <c r="A14" s="1512" t="s">
        <v>111</v>
      </c>
      <c r="B14" s="1310" t="s">
        <v>112</v>
      </c>
      <c r="C14" s="1166"/>
      <c r="D14" s="1163">
        <v>0</v>
      </c>
      <c r="E14" s="1168"/>
      <c r="F14" s="1169"/>
      <c r="G14" s="1167"/>
    </row>
    <row r="15" spans="1:7" ht="15" hidden="1" customHeight="1" x14ac:dyDescent="0.2">
      <c r="A15" s="1513"/>
      <c r="B15" s="1311"/>
      <c r="C15" s="1170"/>
      <c r="D15" s="1163">
        <v>0</v>
      </c>
      <c r="E15" s="1172"/>
      <c r="F15" s="1173"/>
      <c r="G15" s="1171"/>
    </row>
    <row r="16" spans="1:7" hidden="1" x14ac:dyDescent="0.2">
      <c r="A16" s="1512" t="s">
        <v>113</v>
      </c>
      <c r="B16" s="1310" t="s">
        <v>114</v>
      </c>
      <c r="C16" s="1166"/>
      <c r="D16" s="1163">
        <v>0</v>
      </c>
      <c r="E16" s="1168"/>
      <c r="F16" s="1169"/>
      <c r="G16" s="1167"/>
    </row>
    <row r="17" spans="1:8" hidden="1" x14ac:dyDescent="0.2">
      <c r="A17" s="1513"/>
      <c r="B17" s="1311"/>
      <c r="C17" s="1170"/>
      <c r="D17" s="1163">
        <v>0</v>
      </c>
      <c r="E17" s="1172"/>
      <c r="F17" s="1173"/>
      <c r="G17" s="1171"/>
    </row>
    <row r="18" spans="1:8" x14ac:dyDescent="0.2">
      <c r="A18" s="1222" t="s">
        <v>116</v>
      </c>
      <c r="B18" s="1144" t="s">
        <v>117</v>
      </c>
      <c r="C18" s="1162">
        <f>D18+E18</f>
        <v>775424</v>
      </c>
      <c r="D18" s="1163">
        <v>0</v>
      </c>
      <c r="E18" s="1164">
        <f>F18+G18</f>
        <v>775424</v>
      </c>
      <c r="F18" s="1165">
        <v>0</v>
      </c>
      <c r="G18" s="1163">
        <v>775424</v>
      </c>
    </row>
    <row r="19" spans="1:8" x14ac:dyDescent="0.2">
      <c r="A19" s="1222" t="s">
        <v>119</v>
      </c>
      <c r="B19" s="1144" t="s">
        <v>120</v>
      </c>
      <c r="C19" s="1162">
        <f>D19+E19</f>
        <v>551350</v>
      </c>
      <c r="D19" s="1163">
        <v>0</v>
      </c>
      <c r="E19" s="1164">
        <f>F19+G19</f>
        <v>551350</v>
      </c>
      <c r="F19" s="1165">
        <v>96260</v>
      </c>
      <c r="G19" s="1163">
        <v>455090</v>
      </c>
    </row>
    <row r="20" spans="1:8" x14ac:dyDescent="0.2">
      <c r="A20" s="1222" t="s">
        <v>122</v>
      </c>
      <c r="B20" s="1144" t="s">
        <v>123</v>
      </c>
      <c r="C20" s="1162">
        <f>D20+E20</f>
        <v>10280</v>
      </c>
      <c r="D20" s="1163">
        <v>0</v>
      </c>
      <c r="E20" s="1164">
        <f>F20+G20</f>
        <v>10280</v>
      </c>
      <c r="F20" s="1165">
        <v>0</v>
      </c>
      <c r="G20" s="1162">
        <v>10280</v>
      </c>
    </row>
    <row r="21" spans="1:8" x14ac:dyDescent="0.2">
      <c r="A21" s="1222" t="s">
        <v>124</v>
      </c>
      <c r="B21" s="1144" t="s">
        <v>125</v>
      </c>
      <c r="C21" s="1162">
        <f>D21+E21</f>
        <v>80110</v>
      </c>
      <c r="D21" s="1163">
        <v>0</v>
      </c>
      <c r="E21" s="1164">
        <f>F21+G21</f>
        <v>80110</v>
      </c>
      <c r="F21" s="1165">
        <v>3200</v>
      </c>
      <c r="G21" s="1162">
        <v>76910</v>
      </c>
    </row>
    <row r="22" spans="1:8" hidden="1" x14ac:dyDescent="0.2">
      <c r="A22" s="1512" t="s">
        <v>126</v>
      </c>
      <c r="B22" s="1310" t="s">
        <v>127</v>
      </c>
      <c r="C22" s="1162"/>
      <c r="D22" s="1163">
        <v>0</v>
      </c>
      <c r="E22" s="1162"/>
      <c r="F22" s="1165"/>
      <c r="G22" s="1162"/>
    </row>
    <row r="23" spans="1:8" hidden="1" x14ac:dyDescent="0.2">
      <c r="A23" s="1513"/>
      <c r="B23" s="1311"/>
      <c r="C23" s="1170"/>
      <c r="D23" s="1163">
        <v>0</v>
      </c>
      <c r="E23" s="1170"/>
      <c r="F23" s="1173"/>
      <c r="G23" s="1170"/>
    </row>
    <row r="24" spans="1:8" x14ac:dyDescent="0.2">
      <c r="A24" s="1222" t="s">
        <v>129</v>
      </c>
      <c r="B24" s="1144" t="s">
        <v>130</v>
      </c>
      <c r="C24" s="1162">
        <f>D24+E24</f>
        <v>325730</v>
      </c>
      <c r="D24" s="1163">
        <v>0</v>
      </c>
      <c r="E24" s="1164">
        <f>F24+G24</f>
        <v>325730</v>
      </c>
      <c r="F24" s="1165">
        <v>13539</v>
      </c>
      <c r="G24" s="1162">
        <v>312191</v>
      </c>
    </row>
    <row r="25" spans="1:8" x14ac:dyDescent="0.2">
      <c r="A25" s="1221" t="s">
        <v>132</v>
      </c>
      <c r="B25" s="1143" t="s">
        <v>133</v>
      </c>
      <c r="C25" s="1174">
        <f t="shared" ref="C25:F25" si="0">C26+C27</f>
        <v>29287431</v>
      </c>
      <c r="D25" s="1175">
        <f t="shared" si="0"/>
        <v>0</v>
      </c>
      <c r="E25" s="1176">
        <f t="shared" si="0"/>
        <v>29287431</v>
      </c>
      <c r="F25" s="1177">
        <f t="shared" si="0"/>
        <v>4851437</v>
      </c>
      <c r="G25" s="1178">
        <f>G26+G27</f>
        <v>24435994</v>
      </c>
    </row>
    <row r="26" spans="1:8" x14ac:dyDescent="0.2">
      <c r="A26" s="1222" t="s">
        <v>134</v>
      </c>
      <c r="B26" s="1144" t="s">
        <v>135</v>
      </c>
      <c r="C26" s="1162">
        <f t="shared" ref="C26:C27" si="1">D26+E26</f>
        <v>24230624</v>
      </c>
      <c r="D26" s="1163">
        <v>0</v>
      </c>
      <c r="E26" s="1164">
        <f t="shared" ref="E26:E27" si="2">F26+G26</f>
        <v>24230624</v>
      </c>
      <c r="F26" s="1165">
        <v>4008006</v>
      </c>
      <c r="G26" s="1162">
        <v>20222618</v>
      </c>
    </row>
    <row r="27" spans="1:8" x14ac:dyDescent="0.2">
      <c r="A27" s="1222" t="s">
        <v>136</v>
      </c>
      <c r="B27" s="1144" t="s">
        <v>137</v>
      </c>
      <c r="C27" s="1162">
        <f t="shared" si="1"/>
        <v>5056807</v>
      </c>
      <c r="D27" s="1163">
        <v>0</v>
      </c>
      <c r="E27" s="1164">
        <f t="shared" si="2"/>
        <v>5056807</v>
      </c>
      <c r="F27" s="1165">
        <v>843431</v>
      </c>
      <c r="G27" s="1162">
        <v>4213376</v>
      </c>
    </row>
    <row r="28" spans="1:8" x14ac:dyDescent="0.2">
      <c r="A28" s="1221" t="s">
        <v>138</v>
      </c>
      <c r="B28" s="1143" t="s">
        <v>139</v>
      </c>
      <c r="C28" s="1174">
        <f t="shared" ref="C28:F28" si="3">C29+C30+C31+C32+C33+C34</f>
        <v>8182784</v>
      </c>
      <c r="D28" s="1175">
        <f t="shared" si="3"/>
        <v>0</v>
      </c>
      <c r="E28" s="1176">
        <f t="shared" si="3"/>
        <v>8182784</v>
      </c>
      <c r="F28" s="1177">
        <f t="shared" si="3"/>
        <v>1095603</v>
      </c>
      <c r="G28" s="1178">
        <f>G29+G30+G31+G32+G33+G34</f>
        <v>7087181</v>
      </c>
    </row>
    <row r="29" spans="1:8" x14ac:dyDescent="0.2">
      <c r="A29" s="1222" t="s">
        <v>140</v>
      </c>
      <c r="B29" s="1144" t="s">
        <v>141</v>
      </c>
      <c r="C29" s="1162">
        <f t="shared" ref="C29:C34" si="4">D29+E29</f>
        <v>531428</v>
      </c>
      <c r="D29" s="1163">
        <v>0</v>
      </c>
      <c r="E29" s="1164">
        <f t="shared" ref="E29:E34" si="5">F29+G29</f>
        <v>531428</v>
      </c>
      <c r="F29" s="1165">
        <v>13546</v>
      </c>
      <c r="G29" s="1162">
        <v>517882</v>
      </c>
    </row>
    <row r="30" spans="1:8" x14ac:dyDescent="0.2">
      <c r="A30" s="1222" t="s">
        <v>142</v>
      </c>
      <c r="B30" s="1144" t="s">
        <v>143</v>
      </c>
      <c r="C30" s="1162">
        <f t="shared" si="4"/>
        <v>16985</v>
      </c>
      <c r="D30" s="1163">
        <v>0</v>
      </c>
      <c r="E30" s="1164">
        <f t="shared" si="5"/>
        <v>16985</v>
      </c>
      <c r="F30" s="1165">
        <v>439</v>
      </c>
      <c r="G30" s="1162">
        <v>16546</v>
      </c>
    </row>
    <row r="31" spans="1:8" s="763" customFormat="1" ht="15" customHeight="1" x14ac:dyDescent="0.2">
      <c r="A31" s="1222" t="s">
        <v>144</v>
      </c>
      <c r="B31" s="1144" t="s">
        <v>145</v>
      </c>
      <c r="C31" s="1162">
        <f t="shared" si="4"/>
        <v>177850</v>
      </c>
      <c r="D31" s="1163">
        <v>0</v>
      </c>
      <c r="E31" s="1164">
        <f t="shared" si="5"/>
        <v>177850</v>
      </c>
      <c r="F31" s="1165">
        <v>4466</v>
      </c>
      <c r="G31" s="1162">
        <v>173384</v>
      </c>
      <c r="H31" s="1"/>
    </row>
    <row r="32" spans="1:8" s="434" customFormat="1" ht="28" x14ac:dyDescent="0.15">
      <c r="A32" s="1222" t="s">
        <v>147</v>
      </c>
      <c r="B32" s="1144" t="s">
        <v>148</v>
      </c>
      <c r="C32" s="1162">
        <f t="shared" si="4"/>
        <v>6983</v>
      </c>
      <c r="D32" s="1163">
        <v>0</v>
      </c>
      <c r="E32" s="1164">
        <f t="shared" si="5"/>
        <v>6983</v>
      </c>
      <c r="F32" s="1162">
        <v>185</v>
      </c>
      <c r="G32" s="1163">
        <v>6798</v>
      </c>
      <c r="H32" s="763"/>
    </row>
    <row r="33" spans="1:8" x14ac:dyDescent="0.2">
      <c r="A33" s="1222" t="s">
        <v>149</v>
      </c>
      <c r="B33" s="1144" t="s">
        <v>150</v>
      </c>
      <c r="C33" s="1179">
        <f t="shared" si="4"/>
        <v>26349</v>
      </c>
      <c r="D33" s="1180">
        <v>0</v>
      </c>
      <c r="E33" s="1181">
        <f t="shared" si="5"/>
        <v>26349</v>
      </c>
      <c r="F33" s="1182">
        <v>672</v>
      </c>
      <c r="G33" s="1180">
        <v>25677</v>
      </c>
      <c r="H33" s="434"/>
    </row>
    <row r="34" spans="1:8" ht="16" thickBot="1" x14ac:dyDescent="0.25">
      <c r="A34" s="1222" t="s">
        <v>151</v>
      </c>
      <c r="B34" s="1145" t="s">
        <v>152</v>
      </c>
      <c r="C34" s="1179">
        <f t="shared" si="4"/>
        <v>7423189</v>
      </c>
      <c r="D34" s="1180">
        <v>0</v>
      </c>
      <c r="E34" s="1181">
        <f t="shared" si="5"/>
        <v>7423189</v>
      </c>
      <c r="F34" s="1182">
        <v>1076295</v>
      </c>
      <c r="G34" s="1180">
        <v>6346894</v>
      </c>
    </row>
    <row r="35" spans="1:8" x14ac:dyDescent="0.2">
      <c r="A35" s="1218" t="s">
        <v>80</v>
      </c>
      <c r="B35" s="1146" t="s">
        <v>79</v>
      </c>
      <c r="C35" s="1183">
        <f t="shared" ref="C35:F35" si="6">C36+C47+C48+C50+C53+C54+C55+C56+C57+C58</f>
        <v>143825391</v>
      </c>
      <c r="D35" s="1184">
        <f t="shared" si="6"/>
        <v>0</v>
      </c>
      <c r="E35" s="1185">
        <f t="shared" si="6"/>
        <v>143825391</v>
      </c>
      <c r="F35" s="1186">
        <f t="shared" si="6"/>
        <v>83521645</v>
      </c>
      <c r="G35" s="1187">
        <f>G36+G47+G48+G50+G53+G54+G55+G56+G57+G58</f>
        <v>60303746</v>
      </c>
    </row>
    <row r="36" spans="1:8" x14ac:dyDescent="0.2">
      <c r="A36" s="1221" t="s">
        <v>153</v>
      </c>
      <c r="B36" s="1143" t="s">
        <v>154</v>
      </c>
      <c r="C36" s="1174">
        <f t="shared" ref="C36:F36" si="7">C37+C38+C39+C40+C41+C42+C43+C44+C45+C46</f>
        <v>125158929</v>
      </c>
      <c r="D36" s="1175">
        <f t="shared" si="7"/>
        <v>0</v>
      </c>
      <c r="E36" s="1176">
        <f t="shared" si="7"/>
        <v>125158929</v>
      </c>
      <c r="F36" s="1177">
        <f t="shared" si="7"/>
        <v>81947389</v>
      </c>
      <c r="G36" s="1188">
        <f>G37+G38+G39+G40+G41+G42+G43+G44+G45+G46</f>
        <v>43211540</v>
      </c>
    </row>
    <row r="37" spans="1:8" x14ac:dyDescent="0.2">
      <c r="A37" s="1222" t="s">
        <v>155</v>
      </c>
      <c r="B37" s="1144" t="s">
        <v>156</v>
      </c>
      <c r="C37" s="1162">
        <f t="shared" ref="C37:C47" si="8">D37+E37</f>
        <v>8346989</v>
      </c>
      <c r="D37" s="1163">
        <v>0</v>
      </c>
      <c r="E37" s="1164">
        <f t="shared" ref="E37:E47" si="9">F37+G37</f>
        <v>8346989</v>
      </c>
      <c r="F37" s="1165">
        <v>2549643</v>
      </c>
      <c r="G37" s="1163">
        <v>5797346</v>
      </c>
    </row>
    <row r="38" spans="1:8" x14ac:dyDescent="0.2">
      <c r="A38" s="1222" t="s">
        <v>157</v>
      </c>
      <c r="B38" s="1144" t="s">
        <v>158</v>
      </c>
      <c r="C38" s="1162">
        <f t="shared" si="8"/>
        <v>187363</v>
      </c>
      <c r="D38" s="1163">
        <v>0</v>
      </c>
      <c r="E38" s="1164">
        <f t="shared" si="9"/>
        <v>187363</v>
      </c>
      <c r="F38" s="1165">
        <v>0</v>
      </c>
      <c r="G38" s="1163">
        <v>187363</v>
      </c>
    </row>
    <row r="39" spans="1:8" x14ac:dyDescent="0.2">
      <c r="A39" s="1222" t="s">
        <v>159</v>
      </c>
      <c r="B39" s="1144" t="s">
        <v>160</v>
      </c>
      <c r="C39" s="1162">
        <f t="shared" si="8"/>
        <v>7529090</v>
      </c>
      <c r="D39" s="1163">
        <v>0</v>
      </c>
      <c r="E39" s="1164">
        <f t="shared" si="9"/>
        <v>7529090</v>
      </c>
      <c r="F39" s="1165">
        <v>0</v>
      </c>
      <c r="G39" s="1163">
        <v>7529090</v>
      </c>
    </row>
    <row r="40" spans="1:8" x14ac:dyDescent="0.2">
      <c r="A40" s="1222" t="s">
        <v>161</v>
      </c>
      <c r="B40" s="1144" t="s">
        <v>162</v>
      </c>
      <c r="C40" s="1162">
        <f t="shared" si="8"/>
        <v>751984</v>
      </c>
      <c r="D40" s="1163">
        <v>0</v>
      </c>
      <c r="E40" s="1164">
        <f t="shared" si="9"/>
        <v>751984</v>
      </c>
      <c r="F40" s="1165">
        <v>0</v>
      </c>
      <c r="G40" s="1163">
        <v>751984</v>
      </c>
    </row>
    <row r="41" spans="1:8" x14ac:dyDescent="0.2">
      <c r="A41" s="1222" t="s">
        <v>163</v>
      </c>
      <c r="B41" s="1144" t="s">
        <v>164</v>
      </c>
      <c r="C41" s="1162">
        <f t="shared" si="8"/>
        <v>1113766</v>
      </c>
      <c r="D41" s="1163">
        <v>0</v>
      </c>
      <c r="E41" s="1164">
        <f t="shared" si="9"/>
        <v>1113766</v>
      </c>
      <c r="F41" s="1165">
        <v>236289</v>
      </c>
      <c r="G41" s="1163">
        <v>877477</v>
      </c>
    </row>
    <row r="42" spans="1:8" x14ac:dyDescent="0.2">
      <c r="A42" s="1222" t="s">
        <v>165</v>
      </c>
      <c r="B42" s="1144" t="s">
        <v>166</v>
      </c>
      <c r="C42" s="1162">
        <f t="shared" si="8"/>
        <v>198514</v>
      </c>
      <c r="D42" s="1163">
        <v>0</v>
      </c>
      <c r="E42" s="1164">
        <f t="shared" si="9"/>
        <v>198514</v>
      </c>
      <c r="F42" s="1165">
        <v>2200</v>
      </c>
      <c r="G42" s="1163">
        <v>196314</v>
      </c>
    </row>
    <row r="43" spans="1:8" s="253" customFormat="1" x14ac:dyDescent="0.2">
      <c r="A43" s="1222" t="s">
        <v>167</v>
      </c>
      <c r="B43" s="1144" t="s">
        <v>168</v>
      </c>
      <c r="C43" s="1162">
        <f t="shared" si="8"/>
        <v>1250</v>
      </c>
      <c r="D43" s="1163">
        <v>0</v>
      </c>
      <c r="E43" s="1164">
        <f t="shared" si="9"/>
        <v>1250</v>
      </c>
      <c r="F43" s="1165">
        <v>0</v>
      </c>
      <c r="G43" s="1163">
        <v>1250</v>
      </c>
      <c r="H43" s="1"/>
    </row>
    <row r="44" spans="1:8" s="253" customFormat="1" x14ac:dyDescent="0.2">
      <c r="A44" s="1222" t="s">
        <v>169</v>
      </c>
      <c r="B44" s="1144" t="s">
        <v>170</v>
      </c>
      <c r="C44" s="1162">
        <f t="shared" si="8"/>
        <v>6712307</v>
      </c>
      <c r="D44" s="1163">
        <v>0</v>
      </c>
      <c r="E44" s="1164">
        <f t="shared" si="9"/>
        <v>6712307</v>
      </c>
      <c r="F44" s="1165">
        <v>298728</v>
      </c>
      <c r="G44" s="1163">
        <v>6413579</v>
      </c>
    </row>
    <row r="45" spans="1:8" s="253" customFormat="1" x14ac:dyDescent="0.2">
      <c r="A45" s="1222" t="s">
        <v>171</v>
      </c>
      <c r="B45" s="1144" t="s">
        <v>172</v>
      </c>
      <c r="C45" s="1162">
        <f t="shared" si="8"/>
        <v>82080478</v>
      </c>
      <c r="D45" s="1163">
        <v>0</v>
      </c>
      <c r="E45" s="1164">
        <f t="shared" si="9"/>
        <v>82080478</v>
      </c>
      <c r="F45" s="1165">
        <v>78579088</v>
      </c>
      <c r="G45" s="1163">
        <v>3501390</v>
      </c>
    </row>
    <row r="46" spans="1:8" s="253" customFormat="1" x14ac:dyDescent="0.2">
      <c r="A46" s="1222" t="s">
        <v>173</v>
      </c>
      <c r="B46" s="1144" t="s">
        <v>174</v>
      </c>
      <c r="C46" s="1162">
        <f t="shared" si="8"/>
        <v>18237188</v>
      </c>
      <c r="D46" s="1163">
        <v>0</v>
      </c>
      <c r="E46" s="1164">
        <f t="shared" si="9"/>
        <v>18237188</v>
      </c>
      <c r="F46" s="1165">
        <v>281441</v>
      </c>
      <c r="G46" s="1163">
        <v>17955747</v>
      </c>
    </row>
    <row r="47" spans="1:8" s="253" customFormat="1" x14ac:dyDescent="0.2">
      <c r="A47" s="1223" t="s">
        <v>175</v>
      </c>
      <c r="B47" s="1144" t="s">
        <v>176</v>
      </c>
      <c r="C47" s="1179">
        <f t="shared" si="8"/>
        <v>1215293</v>
      </c>
      <c r="D47" s="1163">
        <v>0</v>
      </c>
      <c r="E47" s="1181">
        <f t="shared" si="9"/>
        <v>1215293</v>
      </c>
      <c r="F47" s="1182">
        <v>0</v>
      </c>
      <c r="G47" s="1180">
        <v>1215293</v>
      </c>
    </row>
    <row r="48" spans="1:8" x14ac:dyDescent="0.2">
      <c r="A48" s="1221" t="s">
        <v>177</v>
      </c>
      <c r="B48" s="1143" t="s">
        <v>178</v>
      </c>
      <c r="C48" s="1174">
        <f t="shared" ref="C48:F48" si="10">C49</f>
        <v>2387216</v>
      </c>
      <c r="D48" s="1175">
        <f t="shared" si="10"/>
        <v>0</v>
      </c>
      <c r="E48" s="1176">
        <f t="shared" si="10"/>
        <v>2387216</v>
      </c>
      <c r="F48" s="1177">
        <f t="shared" si="10"/>
        <v>283631</v>
      </c>
      <c r="G48" s="1188">
        <f>G49</f>
        <v>2103585</v>
      </c>
      <c r="H48" s="253"/>
    </row>
    <row r="49" spans="1:7" x14ac:dyDescent="0.2">
      <c r="A49" s="1222" t="s">
        <v>179</v>
      </c>
      <c r="B49" s="1144" t="s">
        <v>180</v>
      </c>
      <c r="C49" s="1162">
        <f>D49+E49</f>
        <v>2387216</v>
      </c>
      <c r="D49" s="1163">
        <v>0</v>
      </c>
      <c r="E49" s="1164">
        <f>F49+G49</f>
        <v>2387216</v>
      </c>
      <c r="F49" s="1165">
        <v>283631</v>
      </c>
      <c r="G49" s="1163">
        <v>2103585</v>
      </c>
    </row>
    <row r="50" spans="1:7" x14ac:dyDescent="0.2">
      <c r="A50" s="1221" t="s">
        <v>181</v>
      </c>
      <c r="B50" s="1143" t="s">
        <v>182</v>
      </c>
      <c r="C50" s="1174">
        <f t="shared" ref="C50:F50" si="11">C51+C52</f>
        <v>102264</v>
      </c>
      <c r="D50" s="1175">
        <f t="shared" si="11"/>
        <v>0</v>
      </c>
      <c r="E50" s="1176">
        <f t="shared" si="11"/>
        <v>102264</v>
      </c>
      <c r="F50" s="1177">
        <f t="shared" si="11"/>
        <v>14799</v>
      </c>
      <c r="G50" s="1188">
        <f>G51+G52</f>
        <v>87465</v>
      </c>
    </row>
    <row r="51" spans="1:7" x14ac:dyDescent="0.2">
      <c r="A51" s="1222" t="s">
        <v>183</v>
      </c>
      <c r="B51" s="1144" t="s">
        <v>184</v>
      </c>
      <c r="C51" s="1162">
        <f t="shared" ref="C51:C57" si="12">D51+E51</f>
        <v>83617</v>
      </c>
      <c r="D51" s="1163">
        <v>0</v>
      </c>
      <c r="E51" s="1164">
        <f t="shared" ref="E51:E57" si="13">F51+G51</f>
        <v>83617</v>
      </c>
      <c r="F51" s="1165">
        <v>14799</v>
      </c>
      <c r="G51" s="1163">
        <v>68818</v>
      </c>
    </row>
    <row r="52" spans="1:7" x14ac:dyDescent="0.2">
      <c r="A52" s="1222" t="s">
        <v>185</v>
      </c>
      <c r="B52" s="1144" t="s">
        <v>186</v>
      </c>
      <c r="C52" s="1162">
        <f t="shared" si="12"/>
        <v>18647</v>
      </c>
      <c r="D52" s="1163">
        <v>0</v>
      </c>
      <c r="E52" s="1164">
        <f t="shared" si="13"/>
        <v>18647</v>
      </c>
      <c r="F52" s="1165">
        <v>0</v>
      </c>
      <c r="G52" s="1163">
        <v>18647</v>
      </c>
    </row>
    <row r="53" spans="1:7" x14ac:dyDescent="0.2">
      <c r="A53" s="1223" t="s">
        <v>188</v>
      </c>
      <c r="B53" s="1144" t="s">
        <v>189</v>
      </c>
      <c r="C53" s="1162">
        <f t="shared" si="12"/>
        <v>7595</v>
      </c>
      <c r="D53" s="1163">
        <v>0</v>
      </c>
      <c r="E53" s="1164">
        <f t="shared" si="13"/>
        <v>7595</v>
      </c>
      <c r="F53" s="1165">
        <v>208</v>
      </c>
      <c r="G53" s="1163">
        <v>7387</v>
      </c>
    </row>
    <row r="54" spans="1:7" x14ac:dyDescent="0.2">
      <c r="A54" s="1223" t="s">
        <v>190</v>
      </c>
      <c r="B54" s="1144" t="s">
        <v>191</v>
      </c>
      <c r="C54" s="1162">
        <f t="shared" si="12"/>
        <v>17779</v>
      </c>
      <c r="D54" s="1163">
        <v>0</v>
      </c>
      <c r="E54" s="1164">
        <f t="shared" si="13"/>
        <v>17779</v>
      </c>
      <c r="F54" s="1165">
        <v>0</v>
      </c>
      <c r="G54" s="1163">
        <v>17779</v>
      </c>
    </row>
    <row r="55" spans="1:7" ht="15" customHeight="1" x14ac:dyDescent="0.2">
      <c r="A55" s="1223" t="s">
        <v>192</v>
      </c>
      <c r="B55" s="1144" t="s">
        <v>193</v>
      </c>
      <c r="C55" s="1162">
        <f t="shared" si="12"/>
        <v>518867</v>
      </c>
      <c r="D55" s="1163">
        <v>0</v>
      </c>
      <c r="E55" s="1164">
        <f t="shared" si="13"/>
        <v>518867</v>
      </c>
      <c r="F55" s="1165">
        <v>433941</v>
      </c>
      <c r="G55" s="1163">
        <v>84926</v>
      </c>
    </row>
    <row r="56" spans="1:7" ht="22" customHeight="1" x14ac:dyDescent="0.2">
      <c r="A56" s="1223" t="s">
        <v>194</v>
      </c>
      <c r="B56" s="1144" t="s">
        <v>195</v>
      </c>
      <c r="C56" s="1162">
        <f t="shared" si="12"/>
        <v>2543934</v>
      </c>
      <c r="D56" s="1163">
        <v>0</v>
      </c>
      <c r="E56" s="1164">
        <f t="shared" si="13"/>
        <v>2543934</v>
      </c>
      <c r="F56" s="1165">
        <v>242079</v>
      </c>
      <c r="G56" s="1163">
        <v>2301855</v>
      </c>
    </row>
    <row r="57" spans="1:7" ht="45.75" customHeight="1" x14ac:dyDescent="0.2">
      <c r="A57" s="1223" t="s">
        <v>197</v>
      </c>
      <c r="B57" s="1145" t="s">
        <v>198</v>
      </c>
      <c r="C57" s="1162">
        <f t="shared" si="12"/>
        <v>110114</v>
      </c>
      <c r="D57" s="1163">
        <v>0</v>
      </c>
      <c r="E57" s="1164">
        <f t="shared" si="13"/>
        <v>110114</v>
      </c>
      <c r="F57" s="1162">
        <v>4000</v>
      </c>
      <c r="G57" s="1163">
        <v>106114</v>
      </c>
    </row>
    <row r="58" spans="1:7" x14ac:dyDescent="0.2">
      <c r="A58" s="1221" t="s">
        <v>199</v>
      </c>
      <c r="B58" s="1143" t="s">
        <v>200</v>
      </c>
      <c r="C58" s="1174">
        <f t="shared" ref="C58:F58" si="14">C59+C60+C61+C62+C63</f>
        <v>11763400</v>
      </c>
      <c r="D58" s="1175">
        <f t="shared" si="14"/>
        <v>0</v>
      </c>
      <c r="E58" s="1176">
        <f t="shared" si="14"/>
        <v>11763400</v>
      </c>
      <c r="F58" s="1177">
        <f t="shared" si="14"/>
        <v>595598</v>
      </c>
      <c r="G58" s="1188">
        <f>G59+G60+G61+G62+G63</f>
        <v>11167802</v>
      </c>
    </row>
    <row r="59" spans="1:7" x14ac:dyDescent="0.2">
      <c r="A59" s="1222" t="s">
        <v>201</v>
      </c>
      <c r="B59" s="1144" t="s">
        <v>202</v>
      </c>
      <c r="C59" s="1162">
        <f t="shared" ref="C59:C63" si="15">D59+E59</f>
        <v>37840</v>
      </c>
      <c r="D59" s="1163">
        <v>0</v>
      </c>
      <c r="E59" s="1164">
        <f t="shared" ref="E59:E63" si="16">F59+G59</f>
        <v>37840</v>
      </c>
      <c r="F59" s="1165">
        <v>13179</v>
      </c>
      <c r="G59" s="1163">
        <v>24661</v>
      </c>
    </row>
    <row r="60" spans="1:7" x14ac:dyDescent="0.2">
      <c r="A60" s="1222" t="s">
        <v>203</v>
      </c>
      <c r="B60" s="1144" t="s">
        <v>204</v>
      </c>
      <c r="C60" s="1162">
        <f t="shared" si="15"/>
        <v>10265</v>
      </c>
      <c r="D60" s="1163">
        <v>0</v>
      </c>
      <c r="E60" s="1164">
        <f t="shared" si="16"/>
        <v>10265</v>
      </c>
      <c r="F60" s="1165">
        <v>0</v>
      </c>
      <c r="G60" s="1163">
        <v>10265</v>
      </c>
    </row>
    <row r="61" spans="1:7" x14ac:dyDescent="0.2">
      <c r="A61" s="1222" t="s">
        <v>205</v>
      </c>
      <c r="B61" s="1144" t="s">
        <v>206</v>
      </c>
      <c r="C61" s="1162">
        <f t="shared" si="15"/>
        <v>730992</v>
      </c>
      <c r="D61" s="1163">
        <v>0</v>
      </c>
      <c r="E61" s="1164">
        <f t="shared" si="16"/>
        <v>730992</v>
      </c>
      <c r="F61" s="1165">
        <v>86458</v>
      </c>
      <c r="G61" s="1163">
        <v>644534</v>
      </c>
    </row>
    <row r="62" spans="1:7" x14ac:dyDescent="0.2">
      <c r="A62" s="1222" t="s">
        <v>207</v>
      </c>
      <c r="B62" s="1144" t="s">
        <v>208</v>
      </c>
      <c r="C62" s="1162">
        <f t="shared" si="15"/>
        <v>10042824</v>
      </c>
      <c r="D62" s="1163">
        <v>0</v>
      </c>
      <c r="E62" s="1164">
        <f t="shared" si="16"/>
        <v>10042824</v>
      </c>
      <c r="F62" s="1165">
        <v>484436</v>
      </c>
      <c r="G62" s="1163">
        <v>9558388</v>
      </c>
    </row>
    <row r="63" spans="1:7" ht="15" customHeight="1" thickBot="1" x14ac:dyDescent="0.25">
      <c r="A63" s="1222" t="s">
        <v>209</v>
      </c>
      <c r="B63" s="1144" t="s">
        <v>210</v>
      </c>
      <c r="C63" s="1179">
        <f t="shared" si="15"/>
        <v>941479</v>
      </c>
      <c r="D63" s="1163">
        <v>0</v>
      </c>
      <c r="E63" s="1181">
        <f t="shared" si="16"/>
        <v>941479</v>
      </c>
      <c r="F63" s="1182">
        <v>11525</v>
      </c>
      <c r="G63" s="1180">
        <v>929954</v>
      </c>
    </row>
    <row r="64" spans="1:7" ht="31.5" customHeight="1" x14ac:dyDescent="0.2">
      <c r="A64" s="1224" t="s">
        <v>83</v>
      </c>
      <c r="B64" s="1147" t="s">
        <v>211</v>
      </c>
      <c r="C64" s="1183">
        <f t="shared" ref="C64:F64" si="17">C67</f>
        <v>54527845</v>
      </c>
      <c r="D64" s="1184">
        <f t="shared" si="17"/>
        <v>0</v>
      </c>
      <c r="E64" s="1185">
        <f t="shared" si="17"/>
        <v>54527845</v>
      </c>
      <c r="F64" s="1186">
        <f t="shared" si="17"/>
        <v>54527845</v>
      </c>
      <c r="G64" s="1187">
        <f>G67</f>
        <v>0</v>
      </c>
    </row>
    <row r="65" spans="1:7" ht="22" hidden="1" customHeight="1" x14ac:dyDescent="0.2">
      <c r="A65" s="1516" t="s">
        <v>212</v>
      </c>
      <c r="B65" s="1341" t="s">
        <v>213</v>
      </c>
      <c r="C65" s="1162" t="e">
        <f>D65+F65+G65</f>
        <v>#REF!</v>
      </c>
      <c r="D65" s="1189" t="e">
        <f>#REF!+#REF!+#REF!+#REF!</f>
        <v>#REF!</v>
      </c>
      <c r="E65" s="1190" t="e">
        <f>#REF!+#REF!+#REF!+#REF!</f>
        <v>#REF!</v>
      </c>
      <c r="F65" s="1191" t="e">
        <f>#REF!+#REF!+#REF!+#REF!</f>
        <v>#REF!</v>
      </c>
      <c r="G65" s="1189" t="e">
        <f>#REF!+#REF!+#REF!+#REF!</f>
        <v>#REF!</v>
      </c>
    </row>
    <row r="66" spans="1:7" ht="22" hidden="1" customHeight="1" x14ac:dyDescent="0.2">
      <c r="A66" s="1517"/>
      <c r="B66" s="1359"/>
      <c r="C66" s="1170" t="e">
        <f>D66+F66+G66</f>
        <v>#REF!</v>
      </c>
      <c r="D66" s="1171" t="e">
        <f>#REF!+#REF!+#REF!+#REF!</f>
        <v>#REF!</v>
      </c>
      <c r="E66" s="1172" t="e">
        <f>#REF!+#REF!+#REF!+#REF!</f>
        <v>#REF!</v>
      </c>
      <c r="F66" s="1173" t="e">
        <f>#REF!+#REF!+#REF!+#REF!</f>
        <v>#REF!</v>
      </c>
      <c r="G66" s="1171" t="e">
        <f>#REF!+#REF!+#REF!+#REF!</f>
        <v>#REF!</v>
      </c>
    </row>
    <row r="67" spans="1:7" ht="45" customHeight="1" thickBot="1" x14ac:dyDescent="0.25">
      <c r="A67" s="1225" t="s">
        <v>214</v>
      </c>
      <c r="B67" s="1148" t="s">
        <v>215</v>
      </c>
      <c r="C67" s="1162">
        <f>D67+E67</f>
        <v>54527845</v>
      </c>
      <c r="D67" s="1189">
        <v>0</v>
      </c>
      <c r="E67" s="1190">
        <f>F67+G67</f>
        <v>54527845</v>
      </c>
      <c r="F67" s="1191">
        <v>54527845</v>
      </c>
      <c r="G67" s="1189">
        <v>0</v>
      </c>
    </row>
    <row r="68" spans="1:7" ht="43.5" customHeight="1" x14ac:dyDescent="0.2">
      <c r="A68" s="1218" t="s">
        <v>216</v>
      </c>
      <c r="B68" s="1149" t="s">
        <v>85</v>
      </c>
      <c r="C68" s="1183">
        <f t="shared" ref="C68:F68" si="18">C69</f>
        <v>19405026</v>
      </c>
      <c r="D68" s="1184">
        <f t="shared" si="18"/>
        <v>19405026</v>
      </c>
      <c r="E68" s="1185">
        <f t="shared" si="18"/>
        <v>0</v>
      </c>
      <c r="F68" s="1186">
        <f t="shared" si="18"/>
        <v>0</v>
      </c>
      <c r="G68" s="1187">
        <f>G69</f>
        <v>0</v>
      </c>
    </row>
    <row r="69" spans="1:7" ht="33" customHeight="1" x14ac:dyDescent="0.2">
      <c r="A69" s="1220" t="s">
        <v>217</v>
      </c>
      <c r="B69" s="1142" t="s">
        <v>218</v>
      </c>
      <c r="C69" s="1192">
        <f t="shared" ref="C69:F69" si="19">C70+C71</f>
        <v>19405026</v>
      </c>
      <c r="D69" s="1193">
        <f t="shared" si="19"/>
        <v>19405026</v>
      </c>
      <c r="E69" s="1194">
        <f t="shared" si="19"/>
        <v>0</v>
      </c>
      <c r="F69" s="1195">
        <f t="shared" si="19"/>
        <v>0</v>
      </c>
      <c r="G69" s="1196">
        <f>G70+G71</f>
        <v>0</v>
      </c>
    </row>
    <row r="70" spans="1:7" ht="15" customHeight="1" x14ac:dyDescent="0.2">
      <c r="A70" s="1222" t="s">
        <v>219</v>
      </c>
      <c r="B70" s="1145" t="s">
        <v>220</v>
      </c>
      <c r="C70" s="1197">
        <f t="shared" ref="C70:C71" si="20">D70+E70</f>
        <v>2910754</v>
      </c>
      <c r="D70" s="1163">
        <v>2910754</v>
      </c>
      <c r="E70" s="1164">
        <f t="shared" ref="E70:E71" si="21">F70+G70</f>
        <v>0</v>
      </c>
      <c r="F70" s="1197">
        <v>0</v>
      </c>
      <c r="G70" s="1163">
        <v>0</v>
      </c>
    </row>
    <row r="71" spans="1:7" ht="15" customHeight="1" thickBot="1" x14ac:dyDescent="0.25">
      <c r="A71" s="1222" t="s">
        <v>221</v>
      </c>
      <c r="B71" s="1145" t="s">
        <v>222</v>
      </c>
      <c r="C71" s="1197">
        <f t="shared" si="20"/>
        <v>16494272</v>
      </c>
      <c r="D71" s="1163">
        <v>16494272</v>
      </c>
      <c r="E71" s="1164">
        <f t="shared" si="21"/>
        <v>0</v>
      </c>
      <c r="F71" s="1197">
        <v>0</v>
      </c>
      <c r="G71" s="1163">
        <v>0</v>
      </c>
    </row>
    <row r="72" spans="1:7" ht="15" hidden="1" customHeight="1" thickBot="1" x14ac:dyDescent="0.25">
      <c r="A72" s="1512" t="s">
        <v>223</v>
      </c>
      <c r="B72" s="1327" t="s">
        <v>224</v>
      </c>
      <c r="C72" s="1179" t="e">
        <f>D72+F72+G72</f>
        <v>#REF!</v>
      </c>
      <c r="D72" s="1180" t="e">
        <f>#REF!+#REF!+#REF!+#REF!</f>
        <v>#REF!</v>
      </c>
      <c r="E72" s="1181" t="e">
        <f>#REF!+#REF!+#REF!+#REF!</f>
        <v>#REF!</v>
      </c>
      <c r="F72" s="1179" t="e">
        <f>#REF!+#REF!+#REF!+#REF!</f>
        <v>#REF!</v>
      </c>
      <c r="G72" s="1180" t="e">
        <f>#REF!+#REF!+#REF!+#REF!</f>
        <v>#REF!</v>
      </c>
    </row>
    <row r="73" spans="1:7" ht="15" hidden="1" customHeight="1" x14ac:dyDescent="0.2">
      <c r="A73" s="1513"/>
      <c r="B73" s="1336"/>
      <c r="C73" s="1170" t="e">
        <f>D73+F73+G73</f>
        <v>#REF!</v>
      </c>
      <c r="D73" s="1171" t="e">
        <f>#REF!+#REF!+#REF!+#REF!</f>
        <v>#REF!</v>
      </c>
      <c r="E73" s="1172" t="e">
        <f>#REF!+#REF!+#REF!+#REF!</f>
        <v>#REF!</v>
      </c>
      <c r="F73" s="1173" t="e">
        <f>#REF!+#REF!+#REF!+#REF!</f>
        <v>#REF!</v>
      </c>
      <c r="G73" s="1171" t="e">
        <f>#REF!+#REF!+#REF!+#REF!</f>
        <v>#REF!</v>
      </c>
    </row>
    <row r="74" spans="1:7" ht="15" hidden="1" customHeight="1" x14ac:dyDescent="0.2">
      <c r="A74" s="1526" t="s">
        <v>225</v>
      </c>
      <c r="B74" s="1294" t="s">
        <v>226</v>
      </c>
      <c r="C74" s="1198" t="e">
        <f>#REF!+#REF!+#REF!+#REF!</f>
        <v>#REF!</v>
      </c>
      <c r="D74" s="1199" t="e">
        <f>#REF!+#REF!+#REF!+#REF!</f>
        <v>#REF!</v>
      </c>
      <c r="E74" s="1200" t="e">
        <f>#REF!+#REF!+#REF!+#REF!</f>
        <v>#REF!</v>
      </c>
      <c r="F74" s="1201" t="e">
        <f>#REF!+#REF!+#REF!+#REF!</f>
        <v>#REF!</v>
      </c>
      <c r="G74" s="1202" t="e">
        <f>#REF!+#REF!+#REF!+#REF!</f>
        <v>#REF!</v>
      </c>
    </row>
    <row r="75" spans="1:7" ht="15" hidden="1" customHeight="1" x14ac:dyDescent="0.2">
      <c r="A75" s="1527"/>
      <c r="B75" s="1295"/>
      <c r="C75" s="1203" t="e">
        <f>#REF!+#REF!+#REF!+#REF!</f>
        <v>#REF!</v>
      </c>
      <c r="D75" s="1204" t="e">
        <f>#REF!+#REF!+#REF!+#REF!</f>
        <v>#REF!</v>
      </c>
      <c r="E75" s="1205" t="e">
        <f>#REF!+#REF!+#REF!+#REF!</f>
        <v>#REF!</v>
      </c>
      <c r="F75" s="1206" t="e">
        <f>#REF!+#REF!+#REF!+#REF!</f>
        <v>#REF!</v>
      </c>
      <c r="G75" s="1207" t="e">
        <f>#REF!+#REF!+#REF!+#REF!</f>
        <v>#REF!</v>
      </c>
    </row>
    <row r="76" spans="1:7" ht="15.75" hidden="1" customHeight="1" x14ac:dyDescent="0.2">
      <c r="A76" s="1512" t="s">
        <v>219</v>
      </c>
      <c r="B76" s="1327" t="s">
        <v>227</v>
      </c>
      <c r="C76" s="1162" t="e">
        <f t="shared" ref="C76:C81" si="22">D76+F76+G76</f>
        <v>#REF!</v>
      </c>
      <c r="D76" s="1163"/>
      <c r="E76" s="1164" t="e">
        <f>#REF!+#REF!+#REF!+#REF!</f>
        <v>#REF!</v>
      </c>
      <c r="F76" s="1162" t="e">
        <f>#REF!+#REF!+#REF!+#REF!</f>
        <v>#REF!</v>
      </c>
      <c r="G76" s="1163" t="e">
        <f>#REF!+#REF!+#REF!+#REF!</f>
        <v>#REF!</v>
      </c>
    </row>
    <row r="77" spans="1:7" ht="15.75" hidden="1" customHeight="1" x14ac:dyDescent="0.2">
      <c r="A77" s="1513"/>
      <c r="B77" s="1336"/>
      <c r="C77" s="1170" t="e">
        <f t="shared" si="22"/>
        <v>#REF!</v>
      </c>
      <c r="D77" s="1171"/>
      <c r="E77" s="1172" t="e">
        <f>#REF!+#REF!+#REF!+#REF!</f>
        <v>#REF!</v>
      </c>
      <c r="F77" s="1173" t="e">
        <f>#REF!+#REF!+#REF!+#REF!</f>
        <v>#REF!</v>
      </c>
      <c r="G77" s="1171" t="e">
        <f>#REF!+#REF!+#REF!+#REF!</f>
        <v>#REF!</v>
      </c>
    </row>
    <row r="78" spans="1:7" ht="15.75" hidden="1" customHeight="1" x14ac:dyDescent="0.2">
      <c r="A78" s="1512" t="s">
        <v>221</v>
      </c>
      <c r="B78" s="1327" t="s">
        <v>228</v>
      </c>
      <c r="C78" s="1162" t="e">
        <f t="shared" si="22"/>
        <v>#REF!</v>
      </c>
      <c r="D78" s="1163" t="e">
        <f>#REF!+#REF!+#REF!+#REF!</f>
        <v>#REF!</v>
      </c>
      <c r="E78" s="1164" t="e">
        <f>#REF!+#REF!+#REF!+#REF!</f>
        <v>#REF!</v>
      </c>
      <c r="F78" s="1162" t="e">
        <f>#REF!+#REF!+#REF!+#REF!</f>
        <v>#REF!</v>
      </c>
      <c r="G78" s="1163" t="e">
        <f>#REF!+#REF!+#REF!+#REF!</f>
        <v>#REF!</v>
      </c>
    </row>
    <row r="79" spans="1:7" ht="15.75" hidden="1" customHeight="1" x14ac:dyDescent="0.2">
      <c r="A79" s="1513"/>
      <c r="B79" s="1336"/>
      <c r="C79" s="1170" t="e">
        <f t="shared" si="22"/>
        <v>#REF!</v>
      </c>
      <c r="D79" s="1171" t="e">
        <f>#REF!+#REF!+#REF!+#REF!</f>
        <v>#REF!</v>
      </c>
      <c r="E79" s="1172" t="e">
        <f>#REF!+#REF!+#REF!+#REF!</f>
        <v>#REF!</v>
      </c>
      <c r="F79" s="1173" t="e">
        <f>#REF!+#REF!+#REF!+#REF!</f>
        <v>#REF!</v>
      </c>
      <c r="G79" s="1171" t="e">
        <f>#REF!+#REF!+#REF!+#REF!</f>
        <v>#REF!</v>
      </c>
    </row>
    <row r="80" spans="1:7" ht="16" hidden="1" thickBot="1" x14ac:dyDescent="0.25">
      <c r="A80" s="1512" t="s">
        <v>223</v>
      </c>
      <c r="B80" s="1327" t="s">
        <v>229</v>
      </c>
      <c r="C80" s="1179" t="e">
        <f t="shared" si="22"/>
        <v>#REF!</v>
      </c>
      <c r="D80" s="1180"/>
      <c r="E80" s="1181" t="e">
        <f>#REF!+#REF!+#REF!+#REF!</f>
        <v>#REF!</v>
      </c>
      <c r="F80" s="1179" t="e">
        <f>#REF!+#REF!+#REF!+#REF!</f>
        <v>#REF!</v>
      </c>
      <c r="G80" s="1180" t="e">
        <f>#REF!+#REF!+#REF!+#REF!</f>
        <v>#REF!</v>
      </c>
    </row>
    <row r="81" spans="1:7" ht="16" hidden="1" thickBot="1" x14ac:dyDescent="0.25">
      <c r="A81" s="1524"/>
      <c r="B81" s="1525"/>
      <c r="C81" s="1170" t="e">
        <f t="shared" si="22"/>
        <v>#REF!</v>
      </c>
      <c r="D81" s="1171"/>
      <c r="E81" s="1172" t="e">
        <f>#REF!+#REF!+#REF!+#REF!</f>
        <v>#REF!</v>
      </c>
      <c r="F81" s="1173" t="e">
        <f>#REF!+#REF!+#REF!+#REF!</f>
        <v>#REF!</v>
      </c>
      <c r="G81" s="1171" t="e">
        <f>#REF!+#REF!+#REF!+#REF!</f>
        <v>#REF!</v>
      </c>
    </row>
    <row r="82" spans="1:7" x14ac:dyDescent="0.2">
      <c r="A82" s="1218" t="s">
        <v>89</v>
      </c>
      <c r="B82" s="1149" t="s">
        <v>88</v>
      </c>
      <c r="C82" s="1183">
        <f t="shared" ref="C82:F82" si="23">C83+C84</f>
        <v>3605265</v>
      </c>
      <c r="D82" s="1184">
        <f t="shared" si="23"/>
        <v>0</v>
      </c>
      <c r="E82" s="1185">
        <f t="shared" si="23"/>
        <v>3605265</v>
      </c>
      <c r="F82" s="1186">
        <f t="shared" si="23"/>
        <v>493002</v>
      </c>
      <c r="G82" s="1187">
        <f>G83+G84</f>
        <v>3112263</v>
      </c>
    </row>
    <row r="83" spans="1:7" x14ac:dyDescent="0.2">
      <c r="A83" s="1222" t="s">
        <v>231</v>
      </c>
      <c r="B83" s="1145" t="s">
        <v>232</v>
      </c>
      <c r="C83" s="1208">
        <f t="shared" ref="C83:C84" si="24">D83+E83</f>
        <v>747105</v>
      </c>
      <c r="D83" s="1209">
        <v>0</v>
      </c>
      <c r="E83" s="1210">
        <f t="shared" ref="E83:E84" si="25">F83+G83</f>
        <v>747105</v>
      </c>
      <c r="F83" s="1208">
        <v>4143</v>
      </c>
      <c r="G83" s="1209">
        <v>742962</v>
      </c>
    </row>
    <row r="84" spans="1:7" ht="19.5" customHeight="1" thickBot="1" x14ac:dyDescent="0.25">
      <c r="A84" s="1222" t="s">
        <v>234</v>
      </c>
      <c r="B84" s="1145" t="s">
        <v>235</v>
      </c>
      <c r="C84" s="1162">
        <f t="shared" si="24"/>
        <v>2858160</v>
      </c>
      <c r="D84" s="1162">
        <v>0</v>
      </c>
      <c r="E84" s="1162">
        <f t="shared" si="25"/>
        <v>2858160</v>
      </c>
      <c r="F84" s="1162">
        <v>488859</v>
      </c>
      <c r="G84" s="1162">
        <v>2369301</v>
      </c>
    </row>
    <row r="85" spans="1:7" ht="19.5" hidden="1" customHeight="1" thickBot="1" x14ac:dyDescent="0.25">
      <c r="A85" s="1512" t="s">
        <v>237</v>
      </c>
      <c r="B85" s="1327" t="s">
        <v>238</v>
      </c>
      <c r="C85" s="1162" t="e">
        <f>D85+F85+G85</f>
        <v>#REF!</v>
      </c>
      <c r="D85" s="1162" t="e">
        <f>#REF!+#REF!+#REF!+#REF!</f>
        <v>#REF!</v>
      </c>
      <c r="E85" s="1163" t="e">
        <f>#REF!+#REF!+#REF!+#REF!</f>
        <v>#REF!</v>
      </c>
      <c r="F85" s="1162" t="e">
        <f>#REF!+#REF!+#REF!+#REF!</f>
        <v>#REF!</v>
      </c>
      <c r="G85" s="1162" t="e">
        <f>#REF!+#REF!+#REF!+#REF!</f>
        <v>#REF!</v>
      </c>
    </row>
    <row r="86" spans="1:7" ht="19.5" hidden="1" customHeight="1" x14ac:dyDescent="0.2">
      <c r="A86" s="1524"/>
      <c r="B86" s="1525"/>
      <c r="C86" s="1211" t="e">
        <f>D86+F86+G86</f>
        <v>#REF!</v>
      </c>
      <c r="D86" s="1211" t="e">
        <f>#REF!+#REF!+#REF!+#REF!</f>
        <v>#REF!</v>
      </c>
      <c r="E86" s="1212" t="e">
        <f>#REF!+#REF!+#REF!+#REF!</f>
        <v>#REF!</v>
      </c>
      <c r="F86" s="1211" t="e">
        <f>#REF!+#REF!+#REF!+#REF!</f>
        <v>#REF!</v>
      </c>
      <c r="G86" s="1211" t="e">
        <f>#REF!+#REF!+#REF!+#REF!</f>
        <v>#REF!</v>
      </c>
    </row>
    <row r="87" spans="1:7" x14ac:dyDescent="0.2">
      <c r="A87" s="1226" t="s">
        <v>92</v>
      </c>
      <c r="B87" s="1146" t="s">
        <v>91</v>
      </c>
      <c r="C87" s="1183">
        <f t="shared" ref="C87:F87" si="26">C88</f>
        <v>9269007</v>
      </c>
      <c r="D87" s="1184">
        <f t="shared" si="26"/>
        <v>0</v>
      </c>
      <c r="E87" s="1185">
        <f t="shared" si="26"/>
        <v>9269007</v>
      </c>
      <c r="F87" s="1186">
        <f t="shared" si="26"/>
        <v>1191666</v>
      </c>
      <c r="G87" s="1187">
        <f>G88</f>
        <v>8077341</v>
      </c>
    </row>
    <row r="88" spans="1:7" x14ac:dyDescent="0.2">
      <c r="A88" s="1220" t="s">
        <v>95</v>
      </c>
      <c r="B88" s="1143" t="s">
        <v>94</v>
      </c>
      <c r="C88" s="1174">
        <f t="shared" ref="C88:F88" si="27">C89+C94</f>
        <v>9269007</v>
      </c>
      <c r="D88" s="1175">
        <f t="shared" si="27"/>
        <v>0</v>
      </c>
      <c r="E88" s="1176">
        <f t="shared" si="27"/>
        <v>9269007</v>
      </c>
      <c r="F88" s="1177">
        <f t="shared" si="27"/>
        <v>1191666</v>
      </c>
      <c r="G88" s="1188">
        <f>G89+G94</f>
        <v>8077341</v>
      </c>
    </row>
    <row r="89" spans="1:7" x14ac:dyDescent="0.2">
      <c r="A89" s="1221" t="s">
        <v>239</v>
      </c>
      <c r="B89" s="1143" t="s">
        <v>240</v>
      </c>
      <c r="C89" s="1174">
        <f t="shared" ref="C89:F89" si="28">C90+C91+C92+C93</f>
        <v>9000029</v>
      </c>
      <c r="D89" s="1175">
        <f t="shared" si="28"/>
        <v>0</v>
      </c>
      <c r="E89" s="1176">
        <f t="shared" si="28"/>
        <v>9000029</v>
      </c>
      <c r="F89" s="1177">
        <f t="shared" si="28"/>
        <v>1191666</v>
      </c>
      <c r="G89" s="1188">
        <f>G90+G91+G92+G93</f>
        <v>7808363</v>
      </c>
    </row>
    <row r="90" spans="1:7" x14ac:dyDescent="0.2">
      <c r="A90" s="1222" t="s">
        <v>241</v>
      </c>
      <c r="B90" s="1144" t="s">
        <v>242</v>
      </c>
      <c r="C90" s="1162">
        <f t="shared" ref="C90:C94" si="29">D90+E90</f>
        <v>2153000</v>
      </c>
      <c r="D90" s="1163">
        <v>0</v>
      </c>
      <c r="E90" s="1164">
        <f t="shared" ref="E90:E94" si="30">F90+G90</f>
        <v>2153000</v>
      </c>
      <c r="F90" s="1165">
        <v>0</v>
      </c>
      <c r="G90" s="1163">
        <v>2153000</v>
      </c>
    </row>
    <row r="91" spans="1:7" x14ac:dyDescent="0.2">
      <c r="A91" s="1222" t="s">
        <v>243</v>
      </c>
      <c r="B91" s="1144" t="s">
        <v>244</v>
      </c>
      <c r="C91" s="1162">
        <f t="shared" si="29"/>
        <v>6739334</v>
      </c>
      <c r="D91" s="1163">
        <v>0</v>
      </c>
      <c r="E91" s="1164">
        <f t="shared" si="30"/>
        <v>6739334</v>
      </c>
      <c r="F91" s="1165">
        <v>1191666</v>
      </c>
      <c r="G91" s="1163">
        <v>5547668</v>
      </c>
    </row>
    <row r="92" spans="1:7" x14ac:dyDescent="0.2">
      <c r="A92" s="1222" t="s">
        <v>245</v>
      </c>
      <c r="B92" s="1144" t="s">
        <v>246</v>
      </c>
      <c r="C92" s="1162">
        <f t="shared" si="29"/>
        <v>0</v>
      </c>
      <c r="D92" s="1163">
        <v>0</v>
      </c>
      <c r="E92" s="1164">
        <f t="shared" si="30"/>
        <v>0</v>
      </c>
      <c r="F92" s="1165">
        <v>0</v>
      </c>
      <c r="G92" s="1163">
        <v>0</v>
      </c>
    </row>
    <row r="93" spans="1:7" x14ac:dyDescent="0.2">
      <c r="A93" s="1222" t="s">
        <v>247</v>
      </c>
      <c r="B93" s="1144" t="s">
        <v>248</v>
      </c>
      <c r="C93" s="1162">
        <f t="shared" si="29"/>
        <v>107695</v>
      </c>
      <c r="D93" s="1163">
        <v>0</v>
      </c>
      <c r="E93" s="1164">
        <f t="shared" si="30"/>
        <v>107695</v>
      </c>
      <c r="F93" s="1165">
        <v>0</v>
      </c>
      <c r="G93" s="1163">
        <v>107695</v>
      </c>
    </row>
    <row r="94" spans="1:7" ht="16" thickBot="1" x14ac:dyDescent="0.25">
      <c r="A94" s="1227" t="s">
        <v>249</v>
      </c>
      <c r="B94" s="1228">
        <v>71.03</v>
      </c>
      <c r="C94" s="1229">
        <f t="shared" si="29"/>
        <v>268978</v>
      </c>
      <c r="D94" s="1230">
        <v>0</v>
      </c>
      <c r="E94" s="1231">
        <f t="shared" si="30"/>
        <v>268978</v>
      </c>
      <c r="F94" s="1232">
        <v>0</v>
      </c>
      <c r="G94" s="1233">
        <v>268978</v>
      </c>
    </row>
    <row r="96" spans="1:7" x14ac:dyDescent="0.2">
      <c r="A96" s="761"/>
      <c r="C96" s="1518"/>
      <c r="D96" s="1518"/>
    </row>
    <row r="97" spans="1:4" x14ac:dyDescent="0.2">
      <c r="A97" s="761"/>
      <c r="C97" s="1518"/>
      <c r="D97" s="1518"/>
    </row>
  </sheetData>
  <sheetProtection selectLockedCells="1" selectUnlockedCells="1"/>
  <mergeCells count="30">
    <mergeCell ref="C96:D96"/>
    <mergeCell ref="C97:D97"/>
    <mergeCell ref="A1:G1"/>
    <mergeCell ref="A2:G2"/>
    <mergeCell ref="E5:E6"/>
    <mergeCell ref="F5:G5"/>
    <mergeCell ref="A85:A86"/>
    <mergeCell ref="B85:B86"/>
    <mergeCell ref="A78:A79"/>
    <mergeCell ref="B78:B79"/>
    <mergeCell ref="A80:A81"/>
    <mergeCell ref="B80:B81"/>
    <mergeCell ref="A74:A75"/>
    <mergeCell ref="B74:B75"/>
    <mergeCell ref="A76:A77"/>
    <mergeCell ref="B76:B77"/>
    <mergeCell ref="A72:A73"/>
    <mergeCell ref="B72:B73"/>
    <mergeCell ref="A65:A66"/>
    <mergeCell ref="B65:B66"/>
    <mergeCell ref="A22:A23"/>
    <mergeCell ref="B22:B23"/>
    <mergeCell ref="C4:C6"/>
    <mergeCell ref="D5:D6"/>
    <mergeCell ref="A4:A6"/>
    <mergeCell ref="A16:A17"/>
    <mergeCell ref="B16:B17"/>
    <mergeCell ref="A14:A15"/>
    <mergeCell ref="B14:B15"/>
    <mergeCell ref="B4:B6"/>
  </mergeCells>
  <printOptions horizontalCentered="1"/>
  <pageMargins left="0.19685039370078741" right="0.15748031496062992" top="0.39370078740157483" bottom="0.35433070866141736" header="0.15748031496062992" footer="0.15748031496062992"/>
  <pageSetup paperSize="9" scale="55" firstPageNumber="0" fitToHeight="2" orientation="portrait" r:id="rId1"/>
  <headerFooter alignWithMargins="0">
    <oddFooter>&amp;C&amp;16Page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Buget consolidat</vt:lpstr>
      <vt:lpstr>Program Inv. Publice</vt:lpstr>
      <vt:lpstr>Sinteza cheltuieli</vt:lpstr>
      <vt:lpstr>'Buget consolidat'!Print_Area</vt:lpstr>
      <vt:lpstr>'Program Inv. Publice'!Print_Area</vt:lpstr>
      <vt:lpstr>'Sinteza cheltuieli'!Print_Area</vt:lpstr>
      <vt:lpstr>'Buget consolidat'!Print_Titles</vt:lpstr>
      <vt:lpstr>'Program Inv. Publice'!Print_Titles</vt:lpstr>
      <vt:lpstr>'Sinteza cheltuieli'!Print_Titles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dc:creator>
  <cp:lastModifiedBy>Microsoft Office User</cp:lastModifiedBy>
  <cp:lastPrinted>2021-01-18T14:52:13Z</cp:lastPrinted>
  <dcterms:created xsi:type="dcterms:W3CDTF">2021-01-14T12:20:33Z</dcterms:created>
  <dcterms:modified xsi:type="dcterms:W3CDTF">2021-04-02T06:38:23Z</dcterms:modified>
</cp:coreProperties>
</file>